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<sst xmlns="http://schemas.openxmlformats.org/spreadsheetml/2006/main" count="1018" uniqueCount="525">
  <si>
    <t>ASPE 9</t>
  </si>
  <si>
    <t>Příloha k formuláři pro ocenění nabídky</t>
  </si>
  <si>
    <t>Stavba :</t>
  </si>
  <si>
    <t>číslo a název SO:</t>
  </si>
  <si>
    <t>číslo a název rozpočtu:</t>
  </si>
  <si>
    <t>Opravy silnic II. a III. třídy v Pardubickém kraji</t>
  </si>
  <si>
    <t>SO 101</t>
  </si>
  <si>
    <t>Pozemní komunikace</t>
  </si>
  <si>
    <t>Poř.
č.pol.</t>
  </si>
  <si>
    <t>1</t>
  </si>
  <si>
    <t>Kód
položky</t>
  </si>
  <si>
    <t>Varianta
položky</t>
  </si>
  <si>
    <t>Název položky</t>
  </si>
  <si>
    <t>jednotka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</si>
  <si>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</si>
  <si>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</si>
  <si>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</si>
  <si>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</si>
  <si>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</si>
  <si>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</si>
  <si>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</si>
  <si>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</si>
  <si>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</si>
  <si>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</si>
  <si>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</si>
  <si>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</si>
  <si>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014111</t>
  </si>
  <si>
    <t/>
  </si>
  <si>
    <t>POPLATKY ZA SKLÁDKU TYP S-IO (INERTNÍ ODPAD)</t>
  </si>
  <si>
    <t xml:space="preserve">M3        </t>
  </si>
  <si>
    <t>014121</t>
  </si>
  <si>
    <t>POPLATKY ZA SKLÁDKU TYP S-OO (OSTATNÍ ODPAD)</t>
  </si>
  <si>
    <t>014131</t>
  </si>
  <si>
    <t>POPLATKY ZA SKLÁDKU TYP S-NO (NEBEZPEČNÝ ODPAD)</t>
  </si>
  <si>
    <t>02620</t>
  </si>
  <si>
    <t>ZKOUŠENÍ KONSTRUKCÍ A PRACÍ NEZÁVISLOU ZKUŠEBNOU</t>
  </si>
  <si>
    <t xml:space="preserve">M2        </t>
  </si>
  <si>
    <t>027121</t>
  </si>
  <si>
    <t>PROVIZORNÍ PŘÍSTUPOVÉ CESTY - ZŘÍZENÍ</t>
  </si>
  <si>
    <t>027123</t>
  </si>
  <si>
    <t>PROVIZORNÍ PŘÍSTUPOVÉ CESTY - ZRUŠENÍ</t>
  </si>
  <si>
    <t>02720</t>
  </si>
  <si>
    <t>POMOC PRÁCE ZŘÍZ NEBO ZAJIŠŤ REGULACI A OCHRANU DOPRAVY</t>
  </si>
  <si>
    <t>027411</t>
  </si>
  <si>
    <t>PROVIZORNÍ MOSTY - MONTÁŽ - DL. DO  15 M</t>
  </si>
  <si>
    <t>027412</t>
  </si>
  <si>
    <t>PROVIZORNÍ MOSTY - NÁJEMNÉ - DL. DO 15 M</t>
  </si>
  <si>
    <t xml:space="preserve">MĚS       </t>
  </si>
  <si>
    <t>027413</t>
  </si>
  <si>
    <t>PROVIZORNÍ MOSTY - DEMONTÁŽ - DL. DO 15 M</t>
  </si>
  <si>
    <t>02910</t>
  </si>
  <si>
    <t>02930</t>
  </si>
  <si>
    <t>OSTATNÍ POŽADAVKY - UMĚLECKÁ DÍLA</t>
  </si>
  <si>
    <t>02940</t>
  </si>
  <si>
    <t>02943</t>
  </si>
  <si>
    <t>02944</t>
  </si>
  <si>
    <t>OSTAT POŽADAVKY - DOKUMENTACE SKUTEČ PROVEDENÍ V DIGIT FORMĚ</t>
  </si>
  <si>
    <t>02945</t>
  </si>
  <si>
    <t>OSTAT POŽADAVKY - GEOMETRICKÝ PLÁN</t>
  </si>
  <si>
    <t>02946</t>
  </si>
  <si>
    <t>OSTAT POŽADAVKY - FOTODOKUMENTACE</t>
  </si>
  <si>
    <t>02991</t>
  </si>
  <si>
    <t>OSTATNÍ POŽADAVKY - INFORMAČNÍ TABULE</t>
  </si>
  <si>
    <t xml:space="preserve">KUS       </t>
  </si>
  <si>
    <t>03100</t>
  </si>
  <si>
    <t>ZAŘÍZENÍ STAVENIŠTĚ - ZŘÍZENÍ, PROVOZ, DEMONTÁŽ</t>
  </si>
  <si>
    <t>03320</t>
  </si>
  <si>
    <t>03610</t>
  </si>
  <si>
    <t xml:space="preserve">KM        </t>
  </si>
  <si>
    <t>03730</t>
  </si>
  <si>
    <t>POMOC PRÁCE ZAJIŠŤ NEBO ZŘÍZ OCHRANU INŽENÝRSKÝCH SÍTÍ</t>
  </si>
  <si>
    <t>Zemní práce</t>
  </si>
  <si>
    <t>11120</t>
  </si>
  <si>
    <t>ODSTRANĚNÍ KŘOVIN</t>
  </si>
  <si>
    <t>11130</t>
  </si>
  <si>
    <t>SEJMUTÍ DRNU</t>
  </si>
  <si>
    <t>11201</t>
  </si>
  <si>
    <t>11202</t>
  </si>
  <si>
    <t>KÁCENÍ STROMŮ D KMENE DO 0,9M S ODSTRANĚNÍM PAŘEZŮ</t>
  </si>
  <si>
    <t>11317</t>
  </si>
  <si>
    <t>ODSTRAN KRYTU VOZOVEK A CHODNÍKŮ Z DLAŽEB KOSTEK</t>
  </si>
  <si>
    <t>11332</t>
  </si>
  <si>
    <t>ODSTRANĚNÍ PODKLADŮ VOZOVEK A CHODNÍKŮ Z KAMENIVA NESTMELENÉHO</t>
  </si>
  <si>
    <t>ODSTRANĚNÍ PODKLADU VOZOVEK A CHODNÍKŮ S CEMENT POJIVEM</t>
  </si>
  <si>
    <t>11337</t>
  </si>
  <si>
    <t>ODSTRANĚNÍ PODKLADU VOZOVEK Z DLAŽEBNÍCH KOSTEK</t>
  </si>
  <si>
    <t>11352</t>
  </si>
  <si>
    <t>ODSTRANĚNÍ CHODNÍKOVÝCH OBRUBNÍKŮ BETONOVÝCH</t>
  </si>
  <si>
    <t xml:space="preserve">M         </t>
  </si>
  <si>
    <t>11353</t>
  </si>
  <si>
    <t>ODSTRANĚNÍ CHODNÍKOVÝCH KAMENNÝCH OBRUBNÍKŮ</t>
  </si>
  <si>
    <t>11360</t>
  </si>
  <si>
    <t>ROZRYTÍ VOZOVKY</t>
  </si>
  <si>
    <t>11372</t>
  </si>
  <si>
    <t>FRÉZOVÁNÍ VOZOVEK ASFALTOVÝCH</t>
  </si>
  <si>
    <t>12110</t>
  </si>
  <si>
    <t>SEJMUTÍ ORNICE NEBO LESNÍ PŮDY</t>
  </si>
  <si>
    <t>12920</t>
  </si>
  <si>
    <t>ČIŠTĚNÍ KRAJNIC OD NÁNOSU</t>
  </si>
  <si>
    <t>12930</t>
  </si>
  <si>
    <t>ČIŠTĚNÍ PŘÍKOPŮ OD NÁNOSU</t>
  </si>
  <si>
    <t>12940</t>
  </si>
  <si>
    <t>12960</t>
  </si>
  <si>
    <t>12980</t>
  </si>
  <si>
    <t>ČIŠTĚNÍ ULIČNÍCH VPUSTÍ</t>
  </si>
  <si>
    <t>17481</t>
  </si>
  <si>
    <t>ZÁSYP JAM A RÝH Z NAKUPOVANÝCH MATERIÁLŮ</t>
  </si>
  <si>
    <t>18120</t>
  </si>
  <si>
    <t>ÚPRAVA PLÁNĚ SE ZHUTNĚNÍM V HORNINĚ TŘ. II</t>
  </si>
  <si>
    <t>18210</t>
  </si>
  <si>
    <t>ÚPRAVA POVRCHŮ SROVNÁNÍM ÚZEMÍ</t>
  </si>
  <si>
    <t>18220</t>
  </si>
  <si>
    <t>ROZPROSTŘENÍ ORNICE VE SVAHU</t>
  </si>
  <si>
    <t>18230</t>
  </si>
  <si>
    <t>ROZPROSTŘENÍ ORNICE V ROVINĚ</t>
  </si>
  <si>
    <t>18241</t>
  </si>
  <si>
    <t>ZALOŽENÍ TRÁVNÍKU RUČNÍM VÝSEVEM</t>
  </si>
  <si>
    <t>56960</t>
  </si>
  <si>
    <t>ZPEVNĚNÍ KRAJNIC Z RECYKLOVANÉHO MATERIÁLU</t>
  </si>
  <si>
    <t>Základy</t>
  </si>
  <si>
    <t>Svislé a kompletní konstrukce</t>
  </si>
  <si>
    <t>317325</t>
  </si>
  <si>
    <t>317365</t>
  </si>
  <si>
    <t xml:space="preserve">T         </t>
  </si>
  <si>
    <t>Vodorovné konstrukce</t>
  </si>
  <si>
    <t>451312</t>
  </si>
  <si>
    <t>451314</t>
  </si>
  <si>
    <t>451325</t>
  </si>
  <si>
    <t>451366</t>
  </si>
  <si>
    <t>451523</t>
  </si>
  <si>
    <t>465512</t>
  </si>
  <si>
    <t>Komunikace</t>
  </si>
  <si>
    <t>561401</t>
  </si>
  <si>
    <t>KAMENIVO ZPEVNĚNÉ CEMENTEM TŘ. I</t>
  </si>
  <si>
    <t>56310</t>
  </si>
  <si>
    <t>VOZOVKOVÉ VRSTVY Z MECHANICKY ZPEVNĚNÉHO KAMENIVA</t>
  </si>
  <si>
    <t>56330</t>
  </si>
  <si>
    <t>VOZOVKOVÉ VRSTVY ZE ŠTĚRKODRTI</t>
  </si>
  <si>
    <t>56340</t>
  </si>
  <si>
    <t>VOZOVKOVÉ VRSTVY ZE ŠTĚRKOPÍSKU</t>
  </si>
  <si>
    <t>572121</t>
  </si>
  <si>
    <t>INFILTRAČNÍ POSTŘIK ASFALTOVÝ DO 1,0KG/M2</t>
  </si>
  <si>
    <t>572213</t>
  </si>
  <si>
    <t>SPOJOVACÍ POSTŘIK Z EMULZE DO 0,5KG/M2</t>
  </si>
  <si>
    <t>57475</t>
  </si>
  <si>
    <t>VOZOVKOVÉ VÝZTUŽNÉ VRSTVY Z GEOMŘÍŽOVINY</t>
  </si>
  <si>
    <t>574A01</t>
  </si>
  <si>
    <t>ASFALTOVÝ BETON PRO OBRUSNÉ VRSTVY ACO 8</t>
  </si>
  <si>
    <t>574A03</t>
  </si>
  <si>
    <t>ASFALTOVÝ BETON PRO OBRUSNÉ VRSTVY ACO 11</t>
  </si>
  <si>
    <t>574A04</t>
  </si>
  <si>
    <t>ASFALTOVÝ BETON PRO OBRUSNÉ VRSTVY ACO 11+, 11S</t>
  </si>
  <si>
    <t>574A06</t>
  </si>
  <si>
    <t>ASFALTOVÝ BETON PRO OBRUSNÉ VRSTVY ACO 16+, 16S</t>
  </si>
  <si>
    <t>574B06</t>
  </si>
  <si>
    <t>ASFALTOVÝ BETON PRO OBRUSNÉ VRSTVY MODIFIK ACO 16+, 16S</t>
  </si>
  <si>
    <t>574C06</t>
  </si>
  <si>
    <t>ASFALTOVÝ BETON PRO LOŽNÍ VRSTVY ACL 16+, 16S</t>
  </si>
  <si>
    <t>574C06.1</t>
  </si>
  <si>
    <t>574C08</t>
  </si>
  <si>
    <t>ASFALTOVÝ BETON PRO LOŽNÍ VRSTVY ACL 22+, 22S</t>
  </si>
  <si>
    <t>574E06</t>
  </si>
  <si>
    <t>ASFALTOVÝ BETON PRO PODKLADNÍ VRSTVY ACP 16+, 16S</t>
  </si>
  <si>
    <t>574E07</t>
  </si>
  <si>
    <t>ASFALTOVÝ BETON PRO PODKLADNÍ VRSTVY ACP 22+, 22S</t>
  </si>
  <si>
    <t>574G00</t>
  </si>
  <si>
    <t>574G02</t>
  </si>
  <si>
    <t>ASFALTOVÝ BETON VELMI TENKÝ BBTM 8+, 8S</t>
  </si>
  <si>
    <t>Úpravy povrchů, podlahy a osazování výplní</t>
  </si>
  <si>
    <t>626211</t>
  </si>
  <si>
    <t>626213</t>
  </si>
  <si>
    <t>62631</t>
  </si>
  <si>
    <t>62641</t>
  </si>
  <si>
    <t>62651</t>
  </si>
  <si>
    <t>62652</t>
  </si>
  <si>
    <t>62662</t>
  </si>
  <si>
    <t>62663</t>
  </si>
  <si>
    <t>62747</t>
  </si>
  <si>
    <t>62845</t>
  </si>
  <si>
    <t>62947</t>
  </si>
  <si>
    <t>Izolace proti vodě, vlhkosti a plynům</t>
  </si>
  <si>
    <t>711</t>
  </si>
  <si>
    <t>711111</t>
  </si>
  <si>
    <t>711412</t>
  </si>
  <si>
    <t>711442</t>
  </si>
  <si>
    <t>711509</t>
  </si>
  <si>
    <t>711519</t>
  </si>
  <si>
    <t>Dokončovací práce - nátěry</t>
  </si>
  <si>
    <t>783</t>
  </si>
  <si>
    <t>78381</t>
  </si>
  <si>
    <t>78383</t>
  </si>
  <si>
    <t>Potrubí</t>
  </si>
  <si>
    <t>87434</t>
  </si>
  <si>
    <t>POTRUBÍ Z TRUB PLASTOVÝCH ODPADNÍCH DN DO 200MM</t>
  </si>
  <si>
    <t>89413</t>
  </si>
  <si>
    <t>ŠACHTY KANALIZAČNÍ Z BETON DÍLCŮ NA POTRUBÍ DN DO 200MM</t>
  </si>
  <si>
    <t>894145</t>
  </si>
  <si>
    <t>ŠACHTY KANALIZAČNÍ Z BETON DÍLCŮ NA POTRUBÍ DN DO 300MM</t>
  </si>
  <si>
    <t>894146</t>
  </si>
  <si>
    <t>ŠACHTY KANALIZAČNÍ Z BETON DÍLCŮ NA POTRUBÍ DN DO 400MM</t>
  </si>
  <si>
    <t>894157</t>
  </si>
  <si>
    <t>ŠACHTY KANALIZAČNÍ Z BETON DÍLCŮ NA POTRUBÍ DN DO 500MM</t>
  </si>
  <si>
    <t>894158</t>
  </si>
  <si>
    <t>ŠACHTY KANALIZAČNÍ Z BETON DÍLCŮ NA POTRUBÍ DN DO 600MM</t>
  </si>
  <si>
    <t>89712</t>
  </si>
  <si>
    <t>VPUSŤ KANALIZAČNÍ ULIČNÍ KOMPLETNÍ Z BETONOVÝCH DÍLCŮ</t>
  </si>
  <si>
    <t>899112</t>
  </si>
  <si>
    <t>POKLOPY LITINOVÉ SAMOSTATNÉ</t>
  </si>
  <si>
    <t>89921</t>
  </si>
  <si>
    <t>VÝŠKOVÁ ÚPRAVA POKLOPŮ</t>
  </si>
  <si>
    <t>89922</t>
  </si>
  <si>
    <t>VÝŠKOVÁ ÚPRAVA MŘÍŽÍ</t>
  </si>
  <si>
    <t>89923</t>
  </si>
  <si>
    <t>VÝŠKOVÁ ÚPRAVA KRYCÍCH HRNCŮ</t>
  </si>
  <si>
    <t>899523</t>
  </si>
  <si>
    <t>OBETONOVÁNÍ POTRUBÍ Z PROSTÉHO BETONU DO C16/20 (B20)</t>
  </si>
  <si>
    <t>Ostatní konstrukce a práce</t>
  </si>
  <si>
    <t>9</t>
  </si>
  <si>
    <t>9112A1</t>
  </si>
  <si>
    <t>9112A3</t>
  </si>
  <si>
    <t>9112B1</t>
  </si>
  <si>
    <t>9112B3</t>
  </si>
  <si>
    <t>9113C1</t>
  </si>
  <si>
    <t>SVODIDLO OCEL SILNIČ JEDNOSTR, ÚROVEŇ ZADRŽ H2 - DODÁVKA A MONTÁŽ</t>
  </si>
  <si>
    <t>9113C3</t>
  </si>
  <si>
    <t>SVODIDLO OCEL SILNIČ JEDNOSTR, ÚROVEŇ ZADRŽ H2 - DEMONTÁŽ S PŘESUNEM</t>
  </si>
  <si>
    <t>91228</t>
  </si>
  <si>
    <t>SMĚROVÉ SLOUPKY Z PLAST HMOT VČETNĚ ODRAZNÉHO PÁSKU</t>
  </si>
  <si>
    <t>912283</t>
  </si>
  <si>
    <t>SMĚROVÉ SLOUPKY Z PLAST HMOT - DEMONTÁŽ A ODVOZ</t>
  </si>
  <si>
    <t>915111</t>
  </si>
  <si>
    <t>VODOROVNÉ DOPRAVNÍ ZNAČENÍ BARVOU HLADKÉ - DODÁVKA A POKLÁDKA</t>
  </si>
  <si>
    <t>915112</t>
  </si>
  <si>
    <t>VODOROVNÉ DOPRAVNÍ ZNAČENÍ BARVOU HLADKÉ - ODSTRANĚNÍ</t>
  </si>
  <si>
    <t>915211</t>
  </si>
  <si>
    <t>VODOROVNÉ DOPRAVNÍ ZNAČENÍ PLASTEM HLADKÉ - DODÁVKA A POKLÁDKA</t>
  </si>
  <si>
    <t>915212</t>
  </si>
  <si>
    <t>VODOROVNÉ DOPRAVNÍ ZNAČENÍ PLASTEM HLADKÉ - ODSTRANĚNÍ</t>
  </si>
  <si>
    <t>916122</t>
  </si>
  <si>
    <t>DOPRAV SVĚTLO VÝSTRAŽ SOUPRAVA 3KS - MONTÁŽ S PŘESUNEM</t>
  </si>
  <si>
    <t>916123</t>
  </si>
  <si>
    <t>DOPRAV SVĚTLO VÝSTRAŽ SOUPRAVA 3KS - DEMONTÁŽ</t>
  </si>
  <si>
    <t>916129</t>
  </si>
  <si>
    <t>DOPRAV SVĚTLO VÝSTRAŽ SOUPRAVA 3KS - NÁJEMNÉ</t>
  </si>
  <si>
    <t xml:space="preserve">KSDEN     </t>
  </si>
  <si>
    <t>916152</t>
  </si>
  <si>
    <t>SEMAFOROVÁ PŘENOSNÁ SOUPRAVA - MONTÁŽ S PŘESUNEM</t>
  </si>
  <si>
    <t>916153</t>
  </si>
  <si>
    <t>SEMAFOROVÁ PŘENOSNÁ SOUPRAVA - DEMONTÁŽ</t>
  </si>
  <si>
    <t>916159</t>
  </si>
  <si>
    <t>SEMAFOROVÁ PŘENOSNÁ SOUPRAVA - NÁJEMNÉ</t>
  </si>
  <si>
    <t>916319</t>
  </si>
  <si>
    <t>916322</t>
  </si>
  <si>
    <t>DOPRAVNÍ ZÁBRANY Z2 S FÓLIÍ TŘ 2 - MONTÁŽ S PŘESUNEM</t>
  </si>
  <si>
    <t>916323</t>
  </si>
  <si>
    <t>DOPRAVNÍ ZÁBRANY Z2 S FÓLIÍ TŘ 2 - DEMONTÁŽ</t>
  </si>
  <si>
    <t>916362</t>
  </si>
  <si>
    <t>SMĚROVACÍ DESKY Z4 OBOUSTR S FÓLIÍ TŘ 2 - MONTÁŽ S PŘESUNEM</t>
  </si>
  <si>
    <t>916363</t>
  </si>
  <si>
    <t>SMĚROVACÍ DESKY Z4 OBOUSTR S FÓLIÍ TŘ 2 - DEMONTÁŽ</t>
  </si>
  <si>
    <t>916369</t>
  </si>
  <si>
    <t>SMĚROVACÍ DESKY Z4 OBOUSTR S FÓLIÍ TŘ 2 - NÁJEMNÉ</t>
  </si>
  <si>
    <t>916712</t>
  </si>
  <si>
    <t>UPEVŇOVACÍ KONSTR - PODKLADNÍ DESKA POD 28KG - MONTÁŽ S PŘESUNEM</t>
  </si>
  <si>
    <t>916713</t>
  </si>
  <si>
    <t>UPEVŇOVACÍ KONSTR - PODKLADNÍ DESKA POD 28KG - DEMONTÁŽ</t>
  </si>
  <si>
    <t>916719</t>
  </si>
  <si>
    <t>UPEVŇOVACÍ KONSTR - PODKLAD DESKA POD 28KG - NÁJEMNÉ</t>
  </si>
  <si>
    <t>916732</t>
  </si>
  <si>
    <t>UPEVŇOVACÍ KONSTR - OCEL STOJAN - MONTÁŽ S PŘESUNEM</t>
  </si>
  <si>
    <t>916733</t>
  </si>
  <si>
    <t>UPEVŇOVACÍ KONSTR - OCEL STOJAN - DEMONTÁŽ</t>
  </si>
  <si>
    <t>916739</t>
  </si>
  <si>
    <t>UPEVŇOVACÍ KONSTR - OCEL STOJAN - NÁJEMNÉ</t>
  </si>
  <si>
    <t>917211</t>
  </si>
  <si>
    <t>917212</t>
  </si>
  <si>
    <t>917223</t>
  </si>
  <si>
    <t>917224</t>
  </si>
  <si>
    <t>917424</t>
  </si>
  <si>
    <t>917425</t>
  </si>
  <si>
    <t>917426</t>
  </si>
  <si>
    <t>917427</t>
  </si>
  <si>
    <t>91743</t>
  </si>
  <si>
    <t>91771</t>
  </si>
  <si>
    <t>91772</t>
  </si>
  <si>
    <t>91781</t>
  </si>
  <si>
    <t>91782</t>
  </si>
  <si>
    <t>91783</t>
  </si>
  <si>
    <t>91784</t>
  </si>
  <si>
    <t>91785</t>
  </si>
  <si>
    <t>918145</t>
  </si>
  <si>
    <t>ČELA BETONOVÁ PROPUSTU Z TRUB DN DO 300MM</t>
  </si>
  <si>
    <t>918146</t>
  </si>
  <si>
    <t>ČELA BETONOVÁ PROPUSTU Z TRUB DN DO 400MM</t>
  </si>
  <si>
    <t>918157</t>
  </si>
  <si>
    <t>ČELA BETONOVÁ PROPUSTU Z TRUB DN DO 500MM</t>
  </si>
  <si>
    <t>918158</t>
  </si>
  <si>
    <t>ČELA BETONOVÁ PROPUSTU Z TRUB DN DO 600MM</t>
  </si>
  <si>
    <t>91816</t>
  </si>
  <si>
    <t>ČELA BETONOVÁ PROPUSTU Z TRUB DN DO 800MM</t>
  </si>
  <si>
    <t>918171</t>
  </si>
  <si>
    <t>ČELA BETONOVÁ PROPUSTU Z TRUB DN DO 1000MM</t>
  </si>
  <si>
    <t>918245</t>
  </si>
  <si>
    <t>VTOK JÍMKY BETONOVÉ VČET DLAŽBY PROPUSTU Z TRUB DN DO 300MM</t>
  </si>
  <si>
    <t>918246</t>
  </si>
  <si>
    <t>VTOK JÍMKY BETONOVÉ VČET DLAŽBY PROPUSTU Z TRUB DN DO 400MM</t>
  </si>
  <si>
    <t>918257</t>
  </si>
  <si>
    <t>VTOK JÍMKY BETONOVÉ VČET DLAŽBY PROPUSTU Z TRUB DN DO 500MM</t>
  </si>
  <si>
    <t>918258</t>
  </si>
  <si>
    <t>VTOKOVÉ JÍMKY BETONOVÉ VČETNĚ DLAŽBY PROPUSTU Z TRUB DN DO 600MM</t>
  </si>
  <si>
    <t>91826</t>
  </si>
  <si>
    <t>VTOKOVÉ JÍMKY BETONOVÉ VČETNĚ DLAŽBY PROPUSTU Z TRUB DN DO 800MM</t>
  </si>
  <si>
    <t>918271</t>
  </si>
  <si>
    <t>VTOK JÍMKY BETONOVÉ VČET DLAŽBY PROPUSTU Z TRUB DN DO 1000MM</t>
  </si>
  <si>
    <t>918345</t>
  </si>
  <si>
    <t>PROPUSTY Z TRUB DN 300MM</t>
  </si>
  <si>
    <t>918346</t>
  </si>
  <si>
    <t>PROPUSTY Z TRUB DN 400MM</t>
  </si>
  <si>
    <t>918357</t>
  </si>
  <si>
    <t>PROPUSTY Z TRUB DN 500MM</t>
  </si>
  <si>
    <t>918358</t>
  </si>
  <si>
    <t>PROPUSTY Z TRUB DN 600MM</t>
  </si>
  <si>
    <t>91836</t>
  </si>
  <si>
    <t>PROPUSTY Z TRUB DN 800MM</t>
  </si>
  <si>
    <t>918371</t>
  </si>
  <si>
    <t>PROPUSTY Z TRUB DN 1000MM</t>
  </si>
  <si>
    <t>919111</t>
  </si>
  <si>
    <t>ŘEZÁNÍ ASFALTOVÉHO KRYTU VOZOVEK TL DO 50MM</t>
  </si>
  <si>
    <t>919112</t>
  </si>
  <si>
    <t>ŘEZÁNÍ ASFALTOVÉHO KRYTU VOZOVEK TL DO 100MM</t>
  </si>
  <si>
    <t>919113</t>
  </si>
  <si>
    <t>ŘEZÁNÍ ASFALTOVÉHO KRYTU VOZOVEK TL DO 150MM</t>
  </si>
  <si>
    <t>919121</t>
  </si>
  <si>
    <t>ŘEZÁNÍ BETON KRYTU VOZOVEK TL DO 50MM</t>
  </si>
  <si>
    <t>919122</t>
  </si>
  <si>
    <t>ŘEZÁNÍ BETONOVÉHO KRYTU VOZOVEK TL DO 100MM</t>
  </si>
  <si>
    <t>919123</t>
  </si>
  <si>
    <t>ŘEZÁNÍ BETONOVÉHO KRYTU VOZOVEK TL DO 150MM</t>
  </si>
  <si>
    <t>93131</t>
  </si>
  <si>
    <t>TĚSNĚNÍ DILATAČ SPAR ASF ZÁLIVKOU</t>
  </si>
  <si>
    <t>93132</t>
  </si>
  <si>
    <t>TĚSNĚNÍ DILATAČ SPAR ASF ZÁLIVKOU MODIFIK</t>
  </si>
  <si>
    <t>935211</t>
  </si>
  <si>
    <t>PŘÍKOPOVÉ ŽLABY Z BETON TVÁRNIC ŠÍŘ DO 600MM DO ŠTĚRKOPÍSKU TL 100MM</t>
  </si>
  <si>
    <t>935812</t>
  </si>
  <si>
    <t>ŽLABY A RIGOLY DLÁŽDĚNÉ Z KOSTEK DROBNÝCH DO BETONU TL 100MM</t>
  </si>
  <si>
    <t>93641</t>
  </si>
  <si>
    <t>LAPAČ SPLAVENIN</t>
  </si>
  <si>
    <t>93808</t>
  </si>
  <si>
    <t>OČIŠTĚNÍ VOZOVEK ZAMETENÍM</t>
  </si>
  <si>
    <t>93811</t>
  </si>
  <si>
    <t>OČIŠTĚNÍ ASFALTOVÝCH VOZOVEK UMYTÍM VODOU</t>
  </si>
  <si>
    <t>966345</t>
  </si>
  <si>
    <t>BOURÁNÍ PROPUSTŮ Z TRUB DN DO 300MM</t>
  </si>
  <si>
    <t>966346</t>
  </si>
  <si>
    <t>BOURÁNÍ PROPUSTŮ Z TRUB DN DO 400MM</t>
  </si>
  <si>
    <t>966357</t>
  </si>
  <si>
    <t>BOURÁNÍ PROPUSTŮ Z TRUB DN DO 500MM</t>
  </si>
  <si>
    <t>966358</t>
  </si>
  <si>
    <t>BOURÁNÍ PROPUSTŮ Z TRUB DN DO 600MM</t>
  </si>
  <si>
    <t>96636</t>
  </si>
  <si>
    <t>BOURÁNÍ PROPUSTŮ Z TRUB DN DO 800MM</t>
  </si>
  <si>
    <t>966371</t>
  </si>
  <si>
    <t>BOURÁNÍ PROPUSTŮ Z TRUB DN DO 1000MM</t>
  </si>
  <si>
    <t>96687</t>
  </si>
  <si>
    <t>VYBOURÁNÍ ULIČNÍCH VPUSTÍ KOMPLETNÍCH</t>
  </si>
  <si>
    <t>96688</t>
  </si>
  <si>
    <t>VYBOURÁNÍ KANALIZAČ ŠACHET KOMPLETNÍCH</t>
  </si>
  <si>
    <t>96922</t>
  </si>
  <si>
    <t>VYBOURÁNÍ POTRUBÍ DN DO 100MM KANALIZAČ</t>
  </si>
  <si>
    <t>969233</t>
  </si>
  <si>
    <t>VYBOURÁNÍ POTRUBÍ DN DO 150MM KANALIZAČ</t>
  </si>
  <si>
    <t>969234</t>
  </si>
  <si>
    <t>VYBOURÁNÍ POTRUBÍ DN DO 200MM KANALIZAČ</t>
  </si>
  <si>
    <t>969245</t>
  </si>
  <si>
    <t>VYBOURÁNÍ POTRUBÍ DN DO 300MM KANALIZAČ</t>
  </si>
  <si>
    <t>969246</t>
  </si>
  <si>
    <t>VYBOURÁNÍ POTRUBÍ DN DO 400MM KANALIZAČ</t>
  </si>
  <si>
    <t>C e l k e m</t>
  </si>
  <si>
    <t>Firma:</t>
  </si>
  <si>
    <t>HOD</t>
  </si>
  <si>
    <t>ASFALTOVÝ BETON PRO LOŽNÍ VRSTVY ACL 16+, 16S CRmB</t>
  </si>
  <si>
    <t>ODKOP PRO SPOD STAVBU SILNIC A ŽELEZNIC TŘ. II</t>
  </si>
  <si>
    <t>SPOJOVACÍ POSTŘIK Z MODIFIK EMULZE DO 0,5KG/M2</t>
  </si>
  <si>
    <t>ASFALTOVÝ BETON VELMI TENKÝ BBTM 5A CRmB</t>
  </si>
  <si>
    <t>M2</t>
  </si>
  <si>
    <t>VOZOVKOVÉ VRSTVY Z RECYKLOVANÉHO MATERIÁLU TL DO 150MM</t>
  </si>
  <si>
    <t>VOZOVKOVÉ VRSTVY Z RECYKLOVANÉHO MATERIÁLU TL DO 200MM</t>
  </si>
  <si>
    <t>VOZOVKOVÉ VRSTVY Z RECYKLOVANÉHO MATERIÁLU TL DO 250MM</t>
  </si>
  <si>
    <t>VOZOVKOVÉ VRSTVY Z RECYKLOVANÉHO MATERIÁLU TL DO 300MM</t>
  </si>
  <si>
    <t>DOPRAVNÍ ZNAČKY ZÁKLADNÍ VELIKOST FÓLIE TŘ 2 - MONTÁŽ S PŘEMÍSTĚNÍM</t>
  </si>
  <si>
    <t>DOPRAVNÍ ZNAČKY ZÁKLADNÍ VELIKOST FÓLIE TŘ 2 - DODÁVKA A MONTÁŽ</t>
  </si>
  <si>
    <t>DOPRAVNÍ ZNAČKY ZÁKLADNÍ VELIKOST FÓLIE TŘ 2 - DEMONTÁŽ</t>
  </si>
  <si>
    <t xml:space="preserve">VÝŠKOVÁ ÚPRAVA OBRUB Z DLAŽEB KOSTEK DROBNÝCH
</t>
  </si>
  <si>
    <t xml:space="preserve">VÝŠKOVÁ ÚPRAVA OBRUB Z DLAŽEB KOSTEK VELKÝCH
</t>
  </si>
  <si>
    <t xml:space="preserve">VÝŠKOVÁ ÚPRAVA OBRUB Z KRAJNÍKŮ
</t>
  </si>
  <si>
    <t xml:space="preserve">VÝŠKOVÁ ÚPRAVA OBRUBNÍKŮ KAMENNÝCH
</t>
  </si>
  <si>
    <t xml:space="preserve">VÝŠKOVÁ ÚPRAVA OBRUBNÍKŮ BETONOVÝCH
</t>
  </si>
  <si>
    <t xml:space="preserve">OBRUBA Z DLAŽEBNÍCH KOSTEK DROBNÝCH
</t>
  </si>
  <si>
    <t xml:space="preserve">OBRUBA Z DLAŽEBNÍCH KOSTEK VELKÝCH
</t>
  </si>
  <si>
    <t xml:space="preserve">CHODNÍKOVÉ OBRUBY Z KAMENNÝCH KRAJNÍKŮ
</t>
  </si>
  <si>
    <t xml:space="preserve">CHODNÍKOVÉ OBRUBY Z KAMENNÝCH OBRUBNÍKŮ ŠÍŘ 300MM
</t>
  </si>
  <si>
    <t xml:space="preserve">CHODNÍKOVÉ OBRUBY Z KAMENNÝCH OBRUBNÍKŮ ŠÍŘ 250MM
</t>
  </si>
  <si>
    <t xml:space="preserve">CHODNÍKOVÉ OBRUBY Z KAMENNÝCH OBRUBNÍKŮ ŠÍŘ 200MM
</t>
  </si>
  <si>
    <t xml:space="preserve">CHODNÍKOVÉ OBRUBY Z KAMENNÝCH OBRUBNÍKŮ ŠÍŘ 150MM
</t>
  </si>
  <si>
    <t xml:space="preserve">SILNIČNÍ A CHODNÍKOVÉ OBRUBY Z BETONOVÝCH OBRUBNÍKŮ ŠÍŘ 100MM
</t>
  </si>
  <si>
    <t xml:space="preserve">ZÁHONOVÉ OBRUBY Z BETONOVÝCH OBRUBNÍKŮ ŠÍŘ 80MM
</t>
  </si>
  <si>
    <t xml:space="preserve">ZÁHONOVÉ OBRUBY Z BETONOVÝCH OBRUBNÍKŮ ŠÍŘ 50MM
</t>
  </si>
  <si>
    <t xml:space="preserve">ZÁBRADLÍ MOSTNÍ SE SVISLOU VÝPLNÍ - DEMONTÁŽ S PŘESUNEM
</t>
  </si>
  <si>
    <t xml:space="preserve">ZÁBRADLÍ MOSTNÍ SE SVISLOU VÝPLNÍ - DODÁVKA A MONTÁŽ
</t>
  </si>
  <si>
    <t xml:space="preserve">ZÁBRADLÍ MOSTNÍ S VODOR MADLY - DEMONTÁŽ S PŘESUNEM
</t>
  </si>
  <si>
    <t xml:space="preserve">ZÁBRADLÍ MOSTNÍ S VODOR MADLY - DODÁVKA A MONTÁŽ
</t>
  </si>
  <si>
    <t xml:space="preserve">NÁTĚRY BETON KONSTR TYP S4 (OS-C)
</t>
  </si>
  <si>
    <t xml:space="preserve">NÁTĚRY BETON KONSTR TYP S1 (OS-A)
</t>
  </si>
  <si>
    <t xml:space="preserve">OCHRANA IZOLACE PODZEMNÍCH OBJEKTŮ TEXTILIÍ
</t>
  </si>
  <si>
    <t xml:space="preserve">OCHRANA IZOLACE NA POVRCHU TEXTILIÍ
</t>
  </si>
  <si>
    <t xml:space="preserve">IZOLACE MOSTOVEK CELOPLOŠNÁ ASFALTOVÝMI PÁSY S PEČETÍCÍ VRSTVOU
</t>
  </si>
  <si>
    <t xml:space="preserve">IZOLACE MOSTOVEK CELOPLOŠNÁ ASFALTOVÝMI PÁSY
</t>
  </si>
  <si>
    <t xml:space="preserve">IZOLACE BĚŽNÝCH KONSTRUKCÍ PROTI ZEMNÍ VLHKOSTI ASFALTOVÝMI NÁTĚRY
</t>
  </si>
  <si>
    <t xml:space="preserve">VYROVNÁVACÍ VRSTVA ZE ZVLÁŠT MALTY
</t>
  </si>
  <si>
    <t xml:space="preserve">SPÁROVÁNÍ STÁVAJÍCÍCH DLAŽEB CEMENT MALTOU
</t>
  </si>
  <si>
    <t xml:space="preserve">SPÁROVÁNÍ STARÉHO ZDIVA ZVLÁŠT MALTOU
</t>
  </si>
  <si>
    <t xml:space="preserve">INJEKTÁŽ TRHLIN SILOVĚ SPOJUJÍCÍ
</t>
  </si>
  <si>
    <t xml:space="preserve">INJEKTÁŽ TRHLIN TĚSNÍCÍ
</t>
  </si>
  <si>
    <t xml:space="preserve">OCHRANA VÝZTUŽE PŘI NEDOSTATEČNÉM KRYTÍ
</t>
  </si>
  <si>
    <t xml:space="preserve">OCHRANA VÝZTUŽE PŘI DOSTATEČNÉM KRYTÍ
</t>
  </si>
  <si>
    <t xml:space="preserve">SJEDNOCUJÍCÍ STĚRKA JEMNOU MALTOU TL CCA 2MM
</t>
  </si>
  <si>
    <t xml:space="preserve">SPOJOVACÍ MŮSTEK MEZI STARÝM A NOVÝM BETONEM
</t>
  </si>
  <si>
    <t xml:space="preserve">REPROFILACE VODOROVNÝCH PLOCH SHORA SANAČNÍ MALTOU JEDNOVRST TL 30MM
</t>
  </si>
  <si>
    <t xml:space="preserve">REPROFILACE VODOROVNÝCH PLOCH SHORA SANAČNÍ MALTOU JEDNOVRST TL 10MM
</t>
  </si>
  <si>
    <t xml:space="preserve">DLAŽBY Z LOMOVÉHO KAMENE NA MC
</t>
  </si>
  <si>
    <t xml:space="preserve">VÝZTUŽ PODKL VRSTEV Z KARI-SÍTÍ
</t>
  </si>
  <si>
    <t xml:space="preserve">VÝPLŇ VRSTVY Z KAMENIVA DRCENÉHO, INDEX ZHUTNĚNÍ ID DO 0,9
</t>
  </si>
  <si>
    <t xml:space="preserve">PODKL A VÝPLŇ VRSTVY ZE ŽELEZOBET DO C30/37 (B37)
</t>
  </si>
  <si>
    <t xml:space="preserve">PODKLADNÍ A VÝPLŇOVÉ VRSTVY Z PROSTÉHO BETONU C25/30
</t>
  </si>
  <si>
    <t xml:space="preserve">PODKLADNÍ A VÝPLŇOVÉ VRSTVY Z PROSTÉHO BETONU C12/15
</t>
  </si>
  <si>
    <t xml:space="preserve">VÝZTUŽ ŘÍMS Z OCELI 10505
</t>
  </si>
  <si>
    <t xml:space="preserve">ŘÍMSY ZE ŽELEZOBETONU DO C30/37 (B37)
</t>
  </si>
  <si>
    <t xml:space="preserve">ČIŠTĚNÍ VODOTEČÍ A MELIORAČ KANÁLŮ OD NÁNOSŮ
</t>
  </si>
  <si>
    <t xml:space="preserve">ČIŠTĚNÍ RÁMOVÝCH A KLENBOVÝCH PROPUSTŮ OD NÁNOSŮ
</t>
  </si>
  <si>
    <t xml:space="preserve">KÁCENÍ STROMŮ D KMENE DO 0,5M S ODSTRANĚNÍM PAŘEZŮ
</t>
  </si>
  <si>
    <t xml:space="preserve">DOPRAVNÍ ZAŘÍZENÍ - AUTOMOBILY
</t>
  </si>
  <si>
    <t xml:space="preserve">SLUŽBY ZAJIŠŤUJÍCÍ DOPRAVU PRACOVNÍKŮ
</t>
  </si>
  <si>
    <t xml:space="preserve">OSTATNÍ POŽADAVKY - VYPRACOVÁNÍ RDS
</t>
  </si>
  <si>
    <t xml:space="preserve">OSTATNÍ POŽADAVKY - VYPRACOVÁNÍ DOKUMENTACE
</t>
  </si>
  <si>
    <t>M3</t>
  </si>
  <si>
    <t>ODKOP PRO SPOD STAVBU SILNIC A ŽELEZNIC TŘ. I</t>
  </si>
  <si>
    <t xml:space="preserve">SILNIČNÍ A CHODNÍKOVÉ OBRUBY Z BETONOVÝCH OBRUBNÍKŮ ŠÍŘ 150MM
</t>
  </si>
  <si>
    <t>SOUBOR</t>
  </si>
  <si>
    <t>DOPRAVNÍ ZÁBRANY Z2 S FÓLIÍ TŘ 2 - NÁJEMNÉ</t>
  </si>
  <si>
    <t>DOPRAVNÍ ZNAČKY ZÁKLADNÍ VELIKOST FÓLIE TŘ 2 - NÁJEMNÉ</t>
  </si>
  <si>
    <t xml:space="preserve">OSTATNÍ POŽADAVKY - ZEMĚMĚŘIČSKÁ a GEODETICKÁ MĚŘENÍ
</t>
  </si>
  <si>
    <t>DLAŽDĚNÉ KRYTY Z DROBNÝCH KOSTEK DO LOŽE Z KAMENIVA</t>
  </si>
  <si>
    <t>OBSYP POTRUBÍ A OBJEKTU Z NAKUPOVANÝCH MATERIÁLU</t>
  </si>
  <si>
    <t xml:space="preserve">PŘEDLÁŽDĚNÍ KRYTU Z DROBNÝCH KOSTEK
</t>
  </si>
  <si>
    <t>KRYTY Z BETON DLAŽDIC SE ZÁMKEM ŠEDÝCH TL 60MM DO LOŽE Z KAM</t>
  </si>
  <si>
    <t>KRYTY Z BETON DLAŽDIC SE ZÁMKEM ŠEDÝCH TL 80MM DO LOŽE Z KAM</t>
  </si>
  <si>
    <t>KRYTY Z BETON DLAŽDIC SE ZÁMKEM BAREV TL 60MM DO LOŽE Z KAM</t>
  </si>
  <si>
    <t>KRYTY Z BETON DLAŽDIC SE ZÁMKEM BAREV TL 80MM DO LOŽE Z KAM</t>
  </si>
  <si>
    <t>DLAŽDĚNÉ KRYTY Z BETONOVÝCH DLAŽDIC DO LOŽE Z MC</t>
  </si>
  <si>
    <t>ODSTRAN KRYTU VOZOVEK A CHODNÍKŮ S AFALTOVÝM POJIVEM</t>
  </si>
  <si>
    <t>ULOŽENÍ SYPANINY DO NÁSYPU SE ZHUTNĚNÍM DO 100% PS</t>
  </si>
  <si>
    <t>ZEMNÍ KRAJNICE A DOSYPÁVKY SE ZHUTNĚNÍM</t>
  </si>
  <si>
    <t>DRENAŽNÍ VRSTVY Z GEOTEXTILIE</t>
  </si>
  <si>
    <t>POTRUBÍ Z TRUB PLASTOVÝCH ODPADNÍCH DN DO 300MM</t>
  </si>
  <si>
    <t>POTRUBÍ Z TRUB PLASTOVÝCH ODPADNÍCH DN DO 400MM</t>
  </si>
  <si>
    <t>POTRUBÍ Z TRUB PLASTOVÝCH ODPADNÍCH DN DO 500MM</t>
  </si>
  <si>
    <t>POTRUBÍ Z TRUB PLASTOVÝCH ODPADNÍCH DN DO 600MM</t>
  </si>
  <si>
    <t>M</t>
  </si>
  <si>
    <t>SLOUPKY A STOJKY DZ Z OCEL TRUBEK DO PATKY DEMONTÁŽ</t>
  </si>
  <si>
    <t>SLOUPKY A STOJKY DZ Z OCEL TRUBEK DO PATKY DOD.MONT. DEMON</t>
  </si>
  <si>
    <t>ČELA KAMENNÁ PROPUSTU Z TRUB DN DO 300MM</t>
  </si>
  <si>
    <t>ČELA KAMENNÁ PROPUSTU Z TRUB DN DO 400MM</t>
  </si>
  <si>
    <t>ČELA KAMENNÁ PROPUSTU Z TRUB DN DO 500MM</t>
  </si>
  <si>
    <t>ČELA KAMENNÁ PROPUSTU Z TRUB DN DO 600MM</t>
  </si>
  <si>
    <t>ČELA KAMENNÁ PROPUSTU Z TRUB DN DO 800MM</t>
  </si>
  <si>
    <t>ČELA KAMENNÁ PROPUSTU Z TRUB DN DO 1000MM</t>
  </si>
  <si>
    <t>Příloha č.16</t>
  </si>
  <si>
    <t>ZÁSYP JAM A RÝH SE ZHUTNĚNÍM</t>
  </si>
  <si>
    <t>HLOUBENÍ JAM ZAPAŽ I NEPAŽ TŘ II</t>
  </si>
  <si>
    <t>HLOUBENÍ RÝH ŠÍŘ DO 2M PAŽ I NEPAŽ TŘ. II</t>
  </si>
  <si>
    <t>HLOUBENÍ ŠACHET ZAPAŽ I NEPAŽ TŘ. II</t>
  </si>
  <si>
    <t xml:space="preserve">NÁTĚRY BETON KONSTR TYP S2 (OS-B)
</t>
  </si>
  <si>
    <t>VYKOPÁVKY ZE ZEMNÍKŮ A SKLÁDEK TŘ. I</t>
  </si>
  <si>
    <t>BOURÁNÍ KONSTRUKCÍ Z BETONOVÝCH DÍLCŮ</t>
  </si>
  <si>
    <t>BOURÁNÍ KONSTRUKCÍ Z KAMENE NA MC</t>
  </si>
  <si>
    <t>BOURÁNÍ KONSTRUKCÍ ZE ŽELEZOBETONU</t>
  </si>
  <si>
    <t>VYBOURÁNÍ ČÁSTÍ KONSTRUKCÍ KAMENNÝCH NA MC</t>
  </si>
  <si>
    <t xml:space="preserve">VYBOURÁNÍ ČÁSTÍ KONSTRUKCÍ BETON
</t>
  </si>
  <si>
    <t xml:space="preserve">VYBOURÁNÍ ČÁSTÍ KONSTRUKCÍ ŽELEZOBET
</t>
  </si>
  <si>
    <t xml:space="preserve">VYBOURÁNÍ ČÁSTÍ KONSTRUKCÍ KOVOVÝCH
</t>
  </si>
  <si>
    <t>KPL</t>
  </si>
  <si>
    <t>DLAŽDĚNÉ KRYTY Z DROBNÝCH KOSTEK DO LOŽE Z MC</t>
  </si>
  <si>
    <t>TRATIVODY KOMPL Z TRUB Z PLAST HM DN DO 200MM, RÝHA TŘ II</t>
  </si>
  <si>
    <t>PŘÍKOPOVÉ ŽLABY Z BETON TVÁRNIC ŠÍŘ DO 900MM DO BETONU TL 100MM</t>
  </si>
  <si>
    <t>ZÁHOZ Z LOMOVÉHO KAMENE</t>
  </si>
  <si>
    <t>PODKL A VÝPLŇ VRSTVY Z KAMENIVA DRCENÉHO</t>
  </si>
  <si>
    <t>PŘEDLÁŽDĚNÍ KRYTU Z BETONOVÝCH DLAŽDIC vč.ZÁMKOVÉ</t>
  </si>
  <si>
    <t>ODSTRAN KRYTU CHODNÍKŮ Z DLAŽDIC vč. ZÁMKOVÉ</t>
  </si>
  <si>
    <t>ROVNANINA Z LOMOVÉHO KAMENE</t>
  </si>
  <si>
    <t>ZPEVNĚNÍ KRAJNIC ZE ŠTĚRKODRTI</t>
  </si>
  <si>
    <t xml:space="preserve">IZOLACE BĚŽNÝCH KONSTRUKCÍ PROTI ZEMNÍ VLHKOSTI ASFALTOVÝMI PÁSY
</t>
  </si>
  <si>
    <t>9111B1</t>
  </si>
  <si>
    <t>ZÁBRADLÍ SILNIČNÍ SE SVISLOU VYPLNÍ - DODÁVKA A MONTÁŽ</t>
  </si>
  <si>
    <t>9111A1</t>
  </si>
  <si>
    <t>ZÁBRADLÍ SILNIČNÍ S VODOR MADLY - DODÁVKA A MONTÁŽ</t>
  </si>
  <si>
    <t>ZÁBRADLÍ SILNIČNÍ S VODOR MADLY - DEMONTÁŽ S PŘESUNEM</t>
  </si>
  <si>
    <t>9111B3</t>
  </si>
  <si>
    <t>ZÁBRADLÍ SILNIČNÍ SE SVISLOU VYPLNÍ - DEMONTÁŽ S PŘESUNEM</t>
  </si>
  <si>
    <t>9111A3</t>
  </si>
  <si>
    <t xml:space="preserve">NÁTĚRY BETON KONSTR TYP S5 (OS-DI)
</t>
  </si>
  <si>
    <t>OSTATNÍ POŽADAVKY - POSUDKY, KONTROLY, REVIZNÍ ZPRÁVY</t>
  </si>
  <si>
    <t>ZKOUŠENÍ MATERIÁLU NEZÁVISLOU ZKUŠEBNOU</t>
  </si>
  <si>
    <t>184B14</t>
  </si>
  <si>
    <t>ZDRAVOTNÍ ŘEZ VĚTVÍ STROMU D DO 90CM</t>
  </si>
  <si>
    <t>184D15</t>
  </si>
  <si>
    <t>VYSAZOVÁNÍ STROMU JEHLIČNATÝCH S BALEM VÝŠKY KMENE DO 1,75M</t>
  </si>
  <si>
    <t>VYSAZOVÁNÍ STROMU LISTNATÝCH S BALEM OBVOD KMENE DO 14cm, PODCHOZÍ VÝŠ MIN 2,2M</t>
  </si>
  <si>
    <t>HLOUBENÍ JAM ZAPAŽ I NEPAŽ TŘ I</t>
  </si>
  <si>
    <t>HLOUBENÍ RÝH ŠÍŘ DO 2M PAŽ I NEPAŽ TŘ. I</t>
  </si>
  <si>
    <t>HLOUBENÍ ŠACHET ZAPAŽ I NEPAŽ TŘ. I</t>
  </si>
  <si>
    <t>ULOŽENÍ SYPANINY DO NÁSYPU Z NAKUPOVANÝCH MATERIÁLU</t>
  </si>
  <si>
    <t>OBSYP POTRUBÍ A OBJEKTU SE ZHUTĚNÍM</t>
  </si>
  <si>
    <t>Počet jednotek v roce 2015 za všechny části</t>
  </si>
  <si>
    <t>Počet
jednotek předpoklad 2017-2018 k jedné části zakázky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</si>
</sst>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  <numFmt numFmtId="166" formatCode="[$-405]dddd\ d\.\ mmmm\ yyyy"/>
    <numFmt numFmtId="167" formatCode="000\ 00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4" fontId="0" fillId="0" borderId="10" xfId="0" applyNumberFormat="1" applyFont="1" applyFill="1" applyBorder="1" applyAlignment="1" applyProtection="1">
      <alignment vertical="top"/>
      <protection/>
    </xf>
    <xf numFmtId="165" fontId="0" fillId="0" borderId="10" xfId="0" applyNumberFormat="1" applyBorder="1" applyAlignment="1" applyProtection="1">
      <alignment vertical="top"/>
      <protection locked="0"/>
    </xf>
    <xf numFmtId="165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Border="1" applyAlignment="1">
      <alignment vertical="top"/>
    </xf>
    <xf numFmtId="167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I8" sqref="I8:I9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0.140625" style="0" customWidth="1"/>
    <col min="4" max="4" width="89.140625" style="0" customWidth="1"/>
    <col min="5" max="5" width="9.7109375" style="0" customWidth="1"/>
    <col min="6" max="6" width="13.7109375" style="0" customWidth="1"/>
    <col min="7" max="8" width="14.7109375" style="0" customWidth="1"/>
    <col min="9" max="9" width="13.7109375" style="0" customWidth="1"/>
    <col min="10" max="10" width="16.140625" style="0" customWidth="1"/>
    <col min="14" max="15" width="9.140625" style="0" hidden="1" customWidth="1"/>
  </cols>
  <sheetData>
    <row r="1" spans="1:3" ht="12.75" customHeight="1">
      <c r="A1" s="1" t="s">
        <v>0</v>
      </c>
      <c r="C1" t="s">
        <v>379</v>
      </c>
    </row>
    <row r="2" spans="3:9" ht="12.75" customHeight="1">
      <c r="C2" s="2" t="s">
        <v>1</v>
      </c>
      <c r="I2" s="25" t="s">
        <v>477</v>
      </c>
    </row>
    <row r="4" spans="1:5" ht="12.75" customHeight="1">
      <c r="A4" t="s">
        <v>2</v>
      </c>
      <c r="C4" s="1"/>
      <c r="D4" s="1" t="s">
        <v>5</v>
      </c>
      <c r="E4" s="1"/>
    </row>
    <row r="5" spans="1:5" ht="12.75" customHeight="1">
      <c r="A5" t="s">
        <v>3</v>
      </c>
      <c r="C5" s="1" t="s">
        <v>6</v>
      </c>
      <c r="D5" s="1" t="s">
        <v>7</v>
      </c>
      <c r="E5" s="1"/>
    </row>
    <row r="6" spans="1:5" ht="12.75" customHeight="1">
      <c r="A6" t="s">
        <v>4</v>
      </c>
      <c r="C6" s="1" t="s">
        <v>6</v>
      </c>
      <c r="D6" s="1" t="s">
        <v>7</v>
      </c>
      <c r="E6" s="1"/>
    </row>
    <row r="7" spans="3:5" ht="12.75" customHeight="1">
      <c r="C7" s="1"/>
      <c r="D7" s="1"/>
      <c r="E7" s="1"/>
    </row>
    <row r="8" spans="1:9" ht="12.75" customHeight="1">
      <c r="A8" s="29" t="s">
        <v>8</v>
      </c>
      <c r="B8" s="29" t="s">
        <v>10</v>
      </c>
      <c r="C8" s="29" t="s">
        <v>11</v>
      </c>
      <c r="D8" s="29" t="s">
        <v>12</v>
      </c>
      <c r="E8" s="29" t="s">
        <v>13</v>
      </c>
      <c r="F8" s="29" t="s">
        <v>524</v>
      </c>
      <c r="G8" s="29" t="s">
        <v>14</v>
      </c>
      <c r="H8" s="29"/>
      <c r="I8" s="27" t="s">
        <v>523</v>
      </c>
    </row>
    <row r="9" spans="1:9" ht="77.25" customHeight="1">
      <c r="A9" s="29"/>
      <c r="B9" s="29"/>
      <c r="C9" s="29"/>
      <c r="D9" s="29"/>
      <c r="E9" s="29"/>
      <c r="F9" s="29"/>
      <c r="G9" s="3" t="s">
        <v>15</v>
      </c>
      <c r="H9" s="3" t="s">
        <v>16</v>
      </c>
      <c r="I9" s="28"/>
    </row>
    <row r="10" spans="1:9" s="5" customFormat="1" ht="12.75" customHeight="1">
      <c r="A10" s="4" t="s">
        <v>9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21</v>
      </c>
      <c r="G10" s="4" t="s">
        <v>22</v>
      </c>
      <c r="H10" s="4" t="s">
        <v>23</v>
      </c>
      <c r="I10" s="26">
        <v>9</v>
      </c>
    </row>
    <row r="11" spans="1:8" s="5" customFormat="1" ht="12.75" customHeight="1">
      <c r="A11" s="6"/>
      <c r="B11" s="6"/>
      <c r="C11" s="6" t="s">
        <v>25</v>
      </c>
      <c r="D11" s="6" t="s">
        <v>24</v>
      </c>
      <c r="E11" s="6"/>
      <c r="F11" s="7"/>
      <c r="G11" s="6"/>
      <c r="H11" s="6"/>
    </row>
    <row r="12" spans="1:9" s="5" customFormat="1" ht="12.75" customHeight="1">
      <c r="A12" s="8">
        <v>1</v>
      </c>
      <c r="B12" s="8" t="s">
        <v>26</v>
      </c>
      <c r="C12" s="8" t="s">
        <v>27</v>
      </c>
      <c r="D12" s="8" t="s">
        <v>28</v>
      </c>
      <c r="E12" s="8" t="s">
        <v>29</v>
      </c>
      <c r="F12" s="9">
        <v>1400</v>
      </c>
      <c r="G12" s="10"/>
      <c r="H12" s="11">
        <f aca="true" t="shared" si="0" ref="H12:H35">ROUND((G12*F12),2)</f>
        <v>0</v>
      </c>
      <c r="I12" s="12">
        <f>1908.07+131.2+907.975+288.485+185.5+22.26+146.345+334.16+410.25+210.76+663.64+190.355+2321.29+1746.105+2343.128+176+172.88+391.098+156.057+244.8+27.52+37.41+35.81+874.228+5732.428</f>
        <v>19657.754</v>
      </c>
    </row>
    <row r="13" spans="1:9" s="5" customFormat="1" ht="12.75" customHeight="1">
      <c r="A13" s="8">
        <v>2</v>
      </c>
      <c r="B13" s="8" t="s">
        <v>30</v>
      </c>
      <c r="C13" s="8" t="s">
        <v>27</v>
      </c>
      <c r="D13" s="8" t="s">
        <v>31</v>
      </c>
      <c r="E13" s="8" t="s">
        <v>29</v>
      </c>
      <c r="F13" s="9">
        <v>720</v>
      </c>
      <c r="G13" s="10"/>
      <c r="H13" s="11">
        <f t="shared" si="0"/>
        <v>0</v>
      </c>
      <c r="I13" s="12">
        <f>185+6.168+427.18+3.57+989.579+3.59+12.82+4.66+282.16+2319.44+2208.046+86.35+3.9+120+28.268+3207.58+6.52+6.8+7.38+152.5+5.92+117+759.78</f>
        <v>10944.211</v>
      </c>
    </row>
    <row r="14" spans="1:9" s="5" customFormat="1" ht="12.75" customHeight="1">
      <c r="A14" s="8">
        <v>3</v>
      </c>
      <c r="B14" s="8" t="s">
        <v>32</v>
      </c>
      <c r="C14" s="8" t="s">
        <v>27</v>
      </c>
      <c r="D14" s="8" t="s">
        <v>33</v>
      </c>
      <c r="E14" s="8" t="s">
        <v>29</v>
      </c>
      <c r="F14" s="9">
        <v>86.666</v>
      </c>
      <c r="G14" s="10"/>
      <c r="H14" s="11">
        <f t="shared" si="0"/>
        <v>0</v>
      </c>
      <c r="I14" s="12">
        <f>21.3+124.488+1.5+164.8+98.61+78.77+6.33+114.21+34.37+49.69</f>
        <v>694.068</v>
      </c>
    </row>
    <row r="15" spans="1:9" s="5" customFormat="1" ht="12.75" customHeight="1">
      <c r="A15" s="8">
        <v>4</v>
      </c>
      <c r="B15" s="23">
        <v>2520</v>
      </c>
      <c r="C15" s="8"/>
      <c r="D15" s="17" t="s">
        <v>512</v>
      </c>
      <c r="E15" s="17" t="s">
        <v>491</v>
      </c>
      <c r="F15" s="9">
        <v>1</v>
      </c>
      <c r="G15" s="10"/>
      <c r="H15" s="11">
        <f t="shared" si="0"/>
        <v>0</v>
      </c>
      <c r="I15" s="12">
        <f>1+1+2+1+1+2</f>
        <v>8</v>
      </c>
    </row>
    <row r="16" spans="1:9" s="5" customFormat="1" ht="12.75" customHeight="1">
      <c r="A16" s="8">
        <v>5</v>
      </c>
      <c r="B16" s="8" t="s">
        <v>34</v>
      </c>
      <c r="C16" s="8" t="s">
        <v>27</v>
      </c>
      <c r="D16" s="8" t="s">
        <v>35</v>
      </c>
      <c r="E16" s="8" t="s">
        <v>491</v>
      </c>
      <c r="F16" s="9">
        <v>3</v>
      </c>
      <c r="G16" s="10"/>
      <c r="H16" s="11">
        <f t="shared" si="0"/>
        <v>0</v>
      </c>
      <c r="I16" s="12">
        <f>1+1+1+1+1+1+1+14+1+1</f>
        <v>23</v>
      </c>
    </row>
    <row r="17" spans="1:9" s="5" customFormat="1" ht="12.75" customHeight="1">
      <c r="A17" s="8">
        <v>6</v>
      </c>
      <c r="B17" s="8" t="s">
        <v>37</v>
      </c>
      <c r="C17" s="8" t="s">
        <v>27</v>
      </c>
      <c r="D17" s="8" t="s">
        <v>38</v>
      </c>
      <c r="E17" s="8" t="s">
        <v>36</v>
      </c>
      <c r="F17" s="9">
        <v>16.666</v>
      </c>
      <c r="G17" s="10"/>
      <c r="H17" s="11">
        <f t="shared" si="0"/>
        <v>0</v>
      </c>
      <c r="I17" s="12">
        <f>71.43</f>
        <v>71.43</v>
      </c>
    </row>
    <row r="18" spans="1:9" s="5" customFormat="1" ht="12.75" customHeight="1">
      <c r="A18" s="8">
        <v>7</v>
      </c>
      <c r="B18" s="8" t="s">
        <v>39</v>
      </c>
      <c r="C18" s="8" t="s">
        <v>27</v>
      </c>
      <c r="D18" s="8" t="s">
        <v>40</v>
      </c>
      <c r="E18" s="8" t="s">
        <v>36</v>
      </c>
      <c r="F18" s="9">
        <v>16.666</v>
      </c>
      <c r="G18" s="10"/>
      <c r="H18" s="11">
        <f t="shared" si="0"/>
        <v>0</v>
      </c>
      <c r="I18" s="12">
        <f>71.43</f>
        <v>71.43</v>
      </c>
    </row>
    <row r="19" spans="1:9" s="5" customFormat="1" ht="12.75" customHeight="1">
      <c r="A19" s="8">
        <v>8</v>
      </c>
      <c r="B19" s="8" t="s">
        <v>41</v>
      </c>
      <c r="C19" s="8" t="s">
        <v>27</v>
      </c>
      <c r="D19" s="8" t="s">
        <v>42</v>
      </c>
      <c r="E19" s="13" t="s">
        <v>448</v>
      </c>
      <c r="F19" s="9">
        <v>4</v>
      </c>
      <c r="G19" s="10"/>
      <c r="H19" s="11">
        <f t="shared" si="0"/>
        <v>0</v>
      </c>
      <c r="I19" s="12">
        <f>1+1+1+1+1+1+1+13+1+1+1</f>
        <v>23</v>
      </c>
    </row>
    <row r="20" spans="1:9" s="5" customFormat="1" ht="12.75" customHeight="1">
      <c r="A20" s="8">
        <v>9</v>
      </c>
      <c r="B20" s="8" t="s">
        <v>43</v>
      </c>
      <c r="C20" s="8" t="s">
        <v>27</v>
      </c>
      <c r="D20" s="8" t="s">
        <v>44</v>
      </c>
      <c r="E20" s="17" t="s">
        <v>448</v>
      </c>
      <c r="F20" s="9">
        <v>1</v>
      </c>
      <c r="G20" s="10"/>
      <c r="H20" s="11">
        <f t="shared" si="0"/>
        <v>0</v>
      </c>
      <c r="I20" s="12">
        <f>1+1+1+1+1+1</f>
        <v>6</v>
      </c>
    </row>
    <row r="21" spans="1:9" s="5" customFormat="1" ht="12.75" customHeight="1">
      <c r="A21" s="8">
        <v>10</v>
      </c>
      <c r="B21" s="8" t="s">
        <v>45</v>
      </c>
      <c r="C21" s="8" t="s">
        <v>27</v>
      </c>
      <c r="D21" s="8" t="s">
        <v>46</v>
      </c>
      <c r="E21" s="8" t="s">
        <v>47</v>
      </c>
      <c r="F21" s="9">
        <v>4</v>
      </c>
      <c r="G21" s="10"/>
      <c r="H21" s="11">
        <f t="shared" si="0"/>
        <v>0</v>
      </c>
      <c r="I21" s="12">
        <f>6+8+3+1+1+1</f>
        <v>20</v>
      </c>
    </row>
    <row r="22" spans="1:9" s="5" customFormat="1" ht="12.75" customHeight="1">
      <c r="A22" s="8">
        <v>11</v>
      </c>
      <c r="B22" s="8" t="s">
        <v>48</v>
      </c>
      <c r="C22" s="8" t="s">
        <v>27</v>
      </c>
      <c r="D22" s="8" t="s">
        <v>49</v>
      </c>
      <c r="E22" s="17" t="s">
        <v>448</v>
      </c>
      <c r="F22" s="9">
        <v>1</v>
      </c>
      <c r="G22" s="10"/>
      <c r="H22" s="11">
        <f t="shared" si="0"/>
        <v>0</v>
      </c>
      <c r="I22" s="12">
        <f>1+1+1+1+1+1</f>
        <v>6</v>
      </c>
    </row>
    <row r="23" spans="1:9" s="5" customFormat="1" ht="12.75" customHeight="1">
      <c r="A23" s="8">
        <v>12</v>
      </c>
      <c r="B23" s="8" t="s">
        <v>50</v>
      </c>
      <c r="C23" s="8" t="s">
        <v>27</v>
      </c>
      <c r="D23" s="13" t="s">
        <v>451</v>
      </c>
      <c r="E23" s="8" t="s">
        <v>380</v>
      </c>
      <c r="F23" s="9">
        <v>60</v>
      </c>
      <c r="G23" s="10"/>
      <c r="H23" s="11">
        <f t="shared" si="0"/>
        <v>0</v>
      </c>
      <c r="I23" s="12">
        <f>21.92+25+25.247+9.38+7.812+12+9.375+12.5+40+60.56+74.25+48.28+67.5+25+12.5+9.38+5+21.88+37.5+18.75+308.89</f>
        <v>852.7239999999999</v>
      </c>
    </row>
    <row r="24" spans="1:9" s="5" customFormat="1" ht="12.75" customHeight="1">
      <c r="A24" s="8">
        <v>13</v>
      </c>
      <c r="B24" s="8" t="s">
        <v>51</v>
      </c>
      <c r="C24" s="8" t="s">
        <v>27</v>
      </c>
      <c r="D24" s="8" t="s">
        <v>52</v>
      </c>
      <c r="E24" s="8" t="s">
        <v>63</v>
      </c>
      <c r="F24" s="9">
        <v>1</v>
      </c>
      <c r="G24" s="10"/>
      <c r="H24" s="11">
        <f t="shared" si="0"/>
        <v>0</v>
      </c>
      <c r="I24" s="12">
        <f>1+2+1+1+1</f>
        <v>6</v>
      </c>
    </row>
    <row r="25" spans="1:9" s="5" customFormat="1" ht="12.75" customHeight="1">
      <c r="A25" s="8">
        <v>14</v>
      </c>
      <c r="B25" s="8" t="s">
        <v>53</v>
      </c>
      <c r="C25" s="8" t="s">
        <v>27</v>
      </c>
      <c r="D25" s="8" t="s">
        <v>444</v>
      </c>
      <c r="E25" s="8" t="s">
        <v>491</v>
      </c>
      <c r="F25" s="9">
        <v>2</v>
      </c>
      <c r="G25" s="10"/>
      <c r="H25" s="11">
        <f t="shared" si="0"/>
        <v>0</v>
      </c>
      <c r="I25" s="12">
        <f>1+1+1+1+1+1+1+1</f>
        <v>8</v>
      </c>
    </row>
    <row r="26" spans="1:9" s="5" customFormat="1" ht="12.75" customHeight="1">
      <c r="A26" s="8">
        <v>15</v>
      </c>
      <c r="B26" s="8" t="s">
        <v>54</v>
      </c>
      <c r="C26" s="8" t="s">
        <v>27</v>
      </c>
      <c r="D26" s="8" t="s">
        <v>443</v>
      </c>
      <c r="E26" s="8" t="s">
        <v>491</v>
      </c>
      <c r="F26" s="9">
        <v>2</v>
      </c>
      <c r="G26" s="10"/>
      <c r="H26" s="11">
        <f t="shared" si="0"/>
        <v>0</v>
      </c>
      <c r="I26" s="12">
        <f>8+1+1+1+1</f>
        <v>12</v>
      </c>
    </row>
    <row r="27" spans="1:9" s="5" customFormat="1" ht="12.75" customHeight="1">
      <c r="A27" s="8">
        <v>16</v>
      </c>
      <c r="B27" s="8" t="s">
        <v>55</v>
      </c>
      <c r="C27" s="8" t="s">
        <v>27</v>
      </c>
      <c r="D27" s="8" t="s">
        <v>56</v>
      </c>
      <c r="E27" s="8" t="s">
        <v>491</v>
      </c>
      <c r="F27" s="9">
        <v>3</v>
      </c>
      <c r="G27" s="10"/>
      <c r="H27" s="11">
        <f t="shared" si="0"/>
        <v>0</v>
      </c>
      <c r="I27" s="12">
        <f>1+1+1+1+1+1+15+1+1</f>
        <v>23</v>
      </c>
    </row>
    <row r="28" spans="1:9" s="5" customFormat="1" ht="12.75" customHeight="1">
      <c r="A28" s="8">
        <v>17</v>
      </c>
      <c r="B28" s="8" t="s">
        <v>57</v>
      </c>
      <c r="C28" s="8" t="s">
        <v>27</v>
      </c>
      <c r="D28" s="8" t="s">
        <v>58</v>
      </c>
      <c r="E28" s="8" t="s">
        <v>491</v>
      </c>
      <c r="F28" s="9">
        <v>2</v>
      </c>
      <c r="G28" s="10"/>
      <c r="H28" s="11">
        <f t="shared" si="0"/>
        <v>0</v>
      </c>
      <c r="I28" s="12">
        <f>1+1+1+1+1+1+1+1+1+1+1+1</f>
        <v>12</v>
      </c>
    </row>
    <row r="29" spans="1:9" s="5" customFormat="1" ht="12.75" customHeight="1">
      <c r="A29" s="8">
        <v>18</v>
      </c>
      <c r="B29" s="8" t="s">
        <v>59</v>
      </c>
      <c r="C29" s="8" t="s">
        <v>27</v>
      </c>
      <c r="D29" s="8" t="s">
        <v>60</v>
      </c>
      <c r="E29" s="8" t="s">
        <v>491</v>
      </c>
      <c r="F29" s="9">
        <v>3</v>
      </c>
      <c r="G29" s="10"/>
      <c r="H29" s="11">
        <f t="shared" si="0"/>
        <v>0</v>
      </c>
      <c r="I29" s="12">
        <f>1+1+1+1+1+1+15+1+1</f>
        <v>23</v>
      </c>
    </row>
    <row r="30" spans="1:9" s="5" customFormat="1" ht="12.75" customHeight="1">
      <c r="A30" s="8">
        <v>19</v>
      </c>
      <c r="B30" s="23">
        <v>2950</v>
      </c>
      <c r="C30" s="8"/>
      <c r="D30" s="17" t="s">
        <v>511</v>
      </c>
      <c r="E30" s="17" t="s">
        <v>491</v>
      </c>
      <c r="F30" s="9">
        <v>3</v>
      </c>
      <c r="G30" s="10"/>
      <c r="H30" s="11">
        <f t="shared" si="0"/>
        <v>0</v>
      </c>
      <c r="I30" s="12">
        <f>18</f>
        <v>18</v>
      </c>
    </row>
    <row r="31" spans="1:9" s="5" customFormat="1" ht="12.75" customHeight="1">
      <c r="A31" s="8">
        <v>20</v>
      </c>
      <c r="B31" s="8" t="s">
        <v>61</v>
      </c>
      <c r="C31" s="8" t="s">
        <v>27</v>
      </c>
      <c r="D31" s="8" t="s">
        <v>62</v>
      </c>
      <c r="E31" s="8" t="s">
        <v>63</v>
      </c>
      <c r="F31" s="9">
        <v>6</v>
      </c>
      <c r="G31" s="10"/>
      <c r="H31" s="11">
        <f t="shared" si="0"/>
        <v>0</v>
      </c>
      <c r="I31" s="12">
        <f>3+4+3+1+1+2+4+2+2+2+1+2+2+2+2+2+4+2+2+3</f>
        <v>46</v>
      </c>
    </row>
    <row r="32" spans="1:9" s="5" customFormat="1" ht="12.75" customHeight="1">
      <c r="A32" s="8">
        <v>21</v>
      </c>
      <c r="B32" s="8" t="s">
        <v>64</v>
      </c>
      <c r="C32" s="8" t="s">
        <v>27</v>
      </c>
      <c r="D32" s="8" t="s">
        <v>65</v>
      </c>
      <c r="E32" s="8" t="s">
        <v>448</v>
      </c>
      <c r="F32" s="9">
        <v>3</v>
      </c>
      <c r="G32" s="10"/>
      <c r="H32" s="11">
        <f t="shared" si="0"/>
        <v>0</v>
      </c>
      <c r="I32" s="12">
        <f>1+1+1+1+1+1+1+1+13+1+1</f>
        <v>23</v>
      </c>
    </row>
    <row r="33" spans="1:9" s="5" customFormat="1" ht="12.75" customHeight="1">
      <c r="A33" s="8">
        <v>22</v>
      </c>
      <c r="B33" s="8" t="s">
        <v>66</v>
      </c>
      <c r="C33" s="8" t="s">
        <v>27</v>
      </c>
      <c r="D33" s="8" t="s">
        <v>442</v>
      </c>
      <c r="E33" s="8" t="s">
        <v>380</v>
      </c>
      <c r="F33" s="9">
        <v>10.666</v>
      </c>
      <c r="G33" s="10"/>
      <c r="H33" s="11">
        <f t="shared" si="0"/>
        <v>0</v>
      </c>
      <c r="I33" s="12"/>
    </row>
    <row r="34" spans="1:9" s="5" customFormat="1" ht="12.75" customHeight="1">
      <c r="A34" s="8">
        <v>23</v>
      </c>
      <c r="B34" s="8" t="s">
        <v>67</v>
      </c>
      <c r="C34" s="8" t="s">
        <v>27</v>
      </c>
      <c r="D34" s="8" t="s">
        <v>441</v>
      </c>
      <c r="E34" s="8" t="s">
        <v>68</v>
      </c>
      <c r="F34" s="9">
        <v>400</v>
      </c>
      <c r="G34" s="10"/>
      <c r="H34" s="11">
        <f t="shared" si="0"/>
        <v>0</v>
      </c>
      <c r="I34" s="12"/>
    </row>
    <row r="35" spans="1:9" s="5" customFormat="1" ht="12.75" customHeight="1">
      <c r="A35" s="8">
        <v>24</v>
      </c>
      <c r="B35" s="8" t="s">
        <v>69</v>
      </c>
      <c r="C35" s="8" t="s">
        <v>27</v>
      </c>
      <c r="D35" s="8" t="s">
        <v>70</v>
      </c>
      <c r="E35" s="8" t="s">
        <v>491</v>
      </c>
      <c r="F35" s="9">
        <v>3</v>
      </c>
      <c r="G35" s="10"/>
      <c r="H35" s="11">
        <f t="shared" si="0"/>
        <v>0</v>
      </c>
      <c r="I35" s="12">
        <f>4+2+1+3+5+6+1+1</f>
        <v>23</v>
      </c>
    </row>
    <row r="36" spans="1:15" s="5" customFormat="1" ht="12.75" customHeight="1">
      <c r="A36" s="14"/>
      <c r="B36" s="14"/>
      <c r="C36" s="14" t="s">
        <v>25</v>
      </c>
      <c r="D36" s="14" t="s">
        <v>24</v>
      </c>
      <c r="E36" s="14"/>
      <c r="F36" s="14"/>
      <c r="G36" s="14"/>
      <c r="H36" s="14">
        <f>SUM(H12:H35)</f>
        <v>0</v>
      </c>
      <c r="I36" s="16"/>
      <c r="O36" s="5">
        <f>ROUND(SUM(O12:O35),2)</f>
        <v>0</v>
      </c>
    </row>
    <row r="37" s="5" customFormat="1" ht="12.75" customHeight="1">
      <c r="I37" s="16"/>
    </row>
    <row r="38" spans="1:9" s="5" customFormat="1" ht="12.75" customHeight="1">
      <c r="A38" s="6"/>
      <c r="B38" s="6"/>
      <c r="C38" s="6" t="s">
        <v>9</v>
      </c>
      <c r="D38" s="6" t="s">
        <v>71</v>
      </c>
      <c r="E38" s="6"/>
      <c r="F38" s="7"/>
      <c r="G38" s="6"/>
      <c r="H38" s="7"/>
      <c r="I38" s="16"/>
    </row>
    <row r="39" spans="1:9" s="5" customFormat="1" ht="12.75" customHeight="1">
      <c r="A39" s="8">
        <v>25</v>
      </c>
      <c r="B39" s="8" t="s">
        <v>72</v>
      </c>
      <c r="C39" s="8" t="s">
        <v>27</v>
      </c>
      <c r="D39" s="8" t="s">
        <v>73</v>
      </c>
      <c r="E39" s="8" t="s">
        <v>36</v>
      </c>
      <c r="F39" s="9">
        <v>86.666</v>
      </c>
      <c r="G39" s="10"/>
      <c r="H39" s="11">
        <f aca="true" t="shared" si="1" ref="H39:H82">ROUND((G39*F39),2)</f>
        <v>0</v>
      </c>
      <c r="I39" s="12">
        <f>38+39+582+18.5</f>
        <v>677.5</v>
      </c>
    </row>
    <row r="40" spans="1:9" s="5" customFormat="1" ht="12.75" customHeight="1">
      <c r="A40" s="8">
        <v>26</v>
      </c>
      <c r="B40" s="8" t="s">
        <v>74</v>
      </c>
      <c r="C40" s="8" t="s">
        <v>27</v>
      </c>
      <c r="D40" s="8" t="s">
        <v>75</v>
      </c>
      <c r="E40" s="8" t="s">
        <v>36</v>
      </c>
      <c r="F40" s="9">
        <v>6.666</v>
      </c>
      <c r="G40" s="10"/>
      <c r="H40" s="11">
        <f t="shared" si="1"/>
        <v>0</v>
      </c>
      <c r="I40" s="12"/>
    </row>
    <row r="41" spans="1:9" s="5" customFormat="1" ht="12.75" customHeight="1">
      <c r="A41" s="8">
        <v>27</v>
      </c>
      <c r="B41" s="8" t="s">
        <v>76</v>
      </c>
      <c r="C41" s="8" t="s">
        <v>27</v>
      </c>
      <c r="D41" s="8" t="s">
        <v>440</v>
      </c>
      <c r="E41" s="8" t="s">
        <v>63</v>
      </c>
      <c r="F41" s="9">
        <v>3</v>
      </c>
      <c r="G41" s="10"/>
      <c r="H41" s="11">
        <f t="shared" si="1"/>
        <v>0</v>
      </c>
      <c r="I41" s="12">
        <f>1+2+10+6+4+5</f>
        <v>28</v>
      </c>
    </row>
    <row r="42" spans="1:9" s="5" customFormat="1" ht="12.75" customHeight="1">
      <c r="A42" s="8">
        <v>28</v>
      </c>
      <c r="B42" s="8" t="s">
        <v>77</v>
      </c>
      <c r="C42" s="8" t="s">
        <v>27</v>
      </c>
      <c r="D42" s="8" t="s">
        <v>78</v>
      </c>
      <c r="E42" s="8" t="s">
        <v>63</v>
      </c>
      <c r="F42" s="9">
        <v>2</v>
      </c>
      <c r="G42" s="10"/>
      <c r="H42" s="11">
        <f t="shared" si="1"/>
        <v>0</v>
      </c>
      <c r="I42" s="12">
        <f>4+5+8</f>
        <v>17</v>
      </c>
    </row>
    <row r="43" spans="1:9" s="5" customFormat="1" ht="12.75" customHeight="1">
      <c r="A43" s="8">
        <v>29</v>
      </c>
      <c r="B43" s="15">
        <v>11313</v>
      </c>
      <c r="C43" s="8"/>
      <c r="D43" s="8" t="s">
        <v>460</v>
      </c>
      <c r="E43" s="8" t="s">
        <v>445</v>
      </c>
      <c r="F43" s="9">
        <v>186.666</v>
      </c>
      <c r="G43" s="10"/>
      <c r="H43" s="11">
        <f t="shared" si="1"/>
        <v>0</v>
      </c>
      <c r="I43" s="12">
        <f>140.26+16.8+23.98+0.32+0.99+189.96+114.213+128.128+327.65+6.33+408.78+114.212+11.876+16.392+66.16+3.9+3.9+4.8+135+308</f>
        <v>2021.6510000000003</v>
      </c>
    </row>
    <row r="44" spans="1:9" s="5" customFormat="1" ht="12.75" customHeight="1">
      <c r="A44" s="8">
        <v>30</v>
      </c>
      <c r="B44" s="8" t="s">
        <v>79</v>
      </c>
      <c r="C44" s="8" t="s">
        <v>27</v>
      </c>
      <c r="D44" s="8" t="s">
        <v>80</v>
      </c>
      <c r="E44" s="8" t="s">
        <v>29</v>
      </c>
      <c r="F44" s="9">
        <v>18.666</v>
      </c>
      <c r="G44" s="10"/>
      <c r="H44" s="11">
        <f t="shared" si="1"/>
        <v>0</v>
      </c>
      <c r="I44" s="12">
        <f>0.258+0.45+4.38+99.24+2.34+2.34+2.88+2.1</f>
        <v>113.98799999999999</v>
      </c>
    </row>
    <row r="45" spans="1:9" s="5" customFormat="1" ht="12.75" customHeight="1">
      <c r="A45" s="8">
        <v>31</v>
      </c>
      <c r="B45" s="15">
        <v>11318</v>
      </c>
      <c r="C45" s="8"/>
      <c r="D45" s="8" t="s">
        <v>498</v>
      </c>
      <c r="E45" s="8" t="s">
        <v>445</v>
      </c>
      <c r="F45" s="9">
        <v>2.666</v>
      </c>
      <c r="G45" s="10"/>
      <c r="H45" s="11">
        <f t="shared" si="1"/>
        <v>0</v>
      </c>
      <c r="I45" s="12">
        <f>6.06+2.3+1.8+0.56+0.299+2.1</f>
        <v>13.119</v>
      </c>
    </row>
    <row r="46" spans="1:9" s="5" customFormat="1" ht="12.75" customHeight="1">
      <c r="A46" s="8">
        <v>32</v>
      </c>
      <c r="B46" s="8" t="s">
        <v>81</v>
      </c>
      <c r="C46" s="8" t="s">
        <v>27</v>
      </c>
      <c r="D46" s="8" t="s">
        <v>82</v>
      </c>
      <c r="E46" s="8" t="s">
        <v>29</v>
      </c>
      <c r="F46" s="9">
        <v>446.666</v>
      </c>
      <c r="G46" s="10"/>
      <c r="H46" s="11">
        <f t="shared" si="1"/>
        <v>0</v>
      </c>
      <c r="I46" s="12">
        <f>1441.35+280.52+68.045+43.35+134.4+98.7+391.893+1091.64+109.728+982.94+61.4+545.04+7.14+11.8+26.202+165.41+376.119+67+566.618</f>
        <v>6469.295000000001</v>
      </c>
    </row>
    <row r="47" spans="1:9" s="5" customFormat="1" ht="12.75" customHeight="1">
      <c r="A47" s="8">
        <v>33</v>
      </c>
      <c r="B47" s="15">
        <v>11314</v>
      </c>
      <c r="C47" s="8" t="s">
        <v>27</v>
      </c>
      <c r="D47" s="8" t="s">
        <v>83</v>
      </c>
      <c r="E47" s="8" t="s">
        <v>29</v>
      </c>
      <c r="F47" s="9">
        <v>13.333</v>
      </c>
      <c r="G47" s="10"/>
      <c r="H47" s="11">
        <f t="shared" si="1"/>
        <v>0</v>
      </c>
      <c r="I47" s="12">
        <f>100+23.25+4.5</f>
        <v>127.75</v>
      </c>
    </row>
    <row r="48" spans="1:9" s="5" customFormat="1" ht="12.75" customHeight="1">
      <c r="A48" s="8">
        <v>34</v>
      </c>
      <c r="B48" s="8" t="s">
        <v>84</v>
      </c>
      <c r="C48" s="8" t="s">
        <v>27</v>
      </c>
      <c r="D48" s="8" t="s">
        <v>85</v>
      </c>
      <c r="E48" s="8" t="s">
        <v>29</v>
      </c>
      <c r="F48" s="9">
        <v>1.333</v>
      </c>
      <c r="G48" s="10"/>
      <c r="H48" s="11">
        <f t="shared" si="1"/>
        <v>0</v>
      </c>
      <c r="I48" s="12"/>
    </row>
    <row r="49" spans="1:9" s="5" customFormat="1" ht="12.75" customHeight="1">
      <c r="A49" s="8">
        <v>35</v>
      </c>
      <c r="B49" s="8" t="s">
        <v>86</v>
      </c>
      <c r="C49" s="8" t="s">
        <v>27</v>
      </c>
      <c r="D49" s="8" t="s">
        <v>87</v>
      </c>
      <c r="E49" s="8" t="s">
        <v>88</v>
      </c>
      <c r="F49" s="9">
        <v>106.666</v>
      </c>
      <c r="G49" s="10"/>
      <c r="H49" s="11">
        <f t="shared" si="1"/>
        <v>0</v>
      </c>
      <c r="I49" s="12">
        <f>22+103.66+60.82+210+1046+9.1+7.5+18</f>
        <v>1477.08</v>
      </c>
    </row>
    <row r="50" spans="1:9" s="5" customFormat="1" ht="12.75" customHeight="1">
      <c r="A50" s="8">
        <v>36</v>
      </c>
      <c r="B50" s="8" t="s">
        <v>89</v>
      </c>
      <c r="C50" s="8" t="s">
        <v>27</v>
      </c>
      <c r="D50" s="8" t="s">
        <v>90</v>
      </c>
      <c r="E50" s="8" t="s">
        <v>88</v>
      </c>
      <c r="F50" s="9">
        <v>50</v>
      </c>
      <c r="G50" s="10"/>
      <c r="H50" s="11">
        <f t="shared" si="1"/>
        <v>0</v>
      </c>
      <c r="I50" s="12">
        <f>7+150.86+559+44+66</f>
        <v>826.86</v>
      </c>
    </row>
    <row r="51" spans="1:9" s="5" customFormat="1" ht="12.75" customHeight="1">
      <c r="A51" s="8">
        <v>37</v>
      </c>
      <c r="B51" s="8" t="s">
        <v>91</v>
      </c>
      <c r="C51" s="8" t="s">
        <v>27</v>
      </c>
      <c r="D51" s="8" t="s">
        <v>92</v>
      </c>
      <c r="E51" s="8" t="s">
        <v>36</v>
      </c>
      <c r="F51" s="9">
        <v>5.333</v>
      </c>
      <c r="G51" s="10"/>
      <c r="H51" s="11">
        <f t="shared" si="1"/>
        <v>0</v>
      </c>
      <c r="I51" s="12"/>
    </row>
    <row r="52" spans="1:9" s="5" customFormat="1" ht="12.75" customHeight="1">
      <c r="A52" s="8">
        <v>38</v>
      </c>
      <c r="B52" s="8" t="s">
        <v>93</v>
      </c>
      <c r="C52" s="8" t="s">
        <v>27</v>
      </c>
      <c r="D52" s="8" t="s">
        <v>94</v>
      </c>
      <c r="E52" s="8" t="s">
        <v>29</v>
      </c>
      <c r="F52" s="9">
        <v>833.333</v>
      </c>
      <c r="G52" s="10"/>
      <c r="H52" s="11">
        <f t="shared" si="1"/>
        <v>0</v>
      </c>
      <c r="I52" s="12">
        <f>948.25+563.535+128.75+14.5+11.89+573.538+13.7+820.1+11.08+0.25+26.01+1.76+690.91+156.26+104.988+811+667.1+877+17.22+337.83+2.24+2.8+40+2+28+690.25+1380.5+29.25+1323.26+396.98+86.29+682.5+15.5+67.8+5+40.5+306.685+171</f>
        <v>12046.225999999999</v>
      </c>
    </row>
    <row r="53" spans="1:9" s="5" customFormat="1" ht="12.75" customHeight="1">
      <c r="A53" s="8">
        <v>39</v>
      </c>
      <c r="B53" s="8" t="s">
        <v>95</v>
      </c>
      <c r="C53" s="8" t="s">
        <v>27</v>
      </c>
      <c r="D53" s="8" t="s">
        <v>96</v>
      </c>
      <c r="E53" s="8" t="s">
        <v>29</v>
      </c>
      <c r="F53" s="9">
        <v>53.333</v>
      </c>
      <c r="G53" s="10"/>
      <c r="H53" s="11">
        <f t="shared" si="1"/>
        <v>0</v>
      </c>
      <c r="I53" s="12">
        <f>14.3+96+51.5+68.875+255.75+235.01+5.64+16.64+2.97+3.29+3.14+41.022</f>
        <v>794.137</v>
      </c>
    </row>
    <row r="54" spans="1:9" s="5" customFormat="1" ht="12.75" customHeight="1">
      <c r="A54" s="8">
        <v>40</v>
      </c>
      <c r="B54" s="15">
        <v>12373</v>
      </c>
      <c r="C54" s="8"/>
      <c r="D54" s="8" t="s">
        <v>446</v>
      </c>
      <c r="E54" s="8" t="s">
        <v>445</v>
      </c>
      <c r="F54" s="9">
        <v>328</v>
      </c>
      <c r="G54" s="10"/>
      <c r="H54" s="11">
        <f t="shared" si="1"/>
        <v>0</v>
      </c>
      <c r="I54" s="12">
        <f>146+9+23.92+67.76+228.426+287.11+116.1+9.5+14.25+356.57+490.536+589.5+17</f>
        <v>2355.672</v>
      </c>
    </row>
    <row r="55" spans="1:9" s="5" customFormat="1" ht="12.75" customHeight="1">
      <c r="A55" s="8">
        <v>41</v>
      </c>
      <c r="B55" s="15">
        <v>12383</v>
      </c>
      <c r="C55" s="8" t="s">
        <v>27</v>
      </c>
      <c r="D55" s="8" t="s">
        <v>382</v>
      </c>
      <c r="E55" s="8" t="s">
        <v>29</v>
      </c>
      <c r="F55" s="9">
        <v>64.333</v>
      </c>
      <c r="G55" s="10"/>
      <c r="H55" s="11">
        <f t="shared" si="1"/>
        <v>0</v>
      </c>
      <c r="I55" s="12">
        <f>229.705+151.784+138.6+379.91+252.93+606.561+32+54</f>
        <v>1845.4900000000002</v>
      </c>
    </row>
    <row r="56" spans="1:9" s="5" customFormat="1" ht="12.75" customHeight="1">
      <c r="A56" s="8">
        <v>42</v>
      </c>
      <c r="B56" s="15">
        <v>12573</v>
      </c>
      <c r="C56" s="8" t="s">
        <v>27</v>
      </c>
      <c r="D56" s="17" t="s">
        <v>483</v>
      </c>
      <c r="E56" s="8" t="s">
        <v>29</v>
      </c>
      <c r="F56" s="9">
        <v>293.333</v>
      </c>
      <c r="G56" s="10"/>
      <c r="H56" s="11">
        <f t="shared" si="1"/>
        <v>0</v>
      </c>
      <c r="I56" s="12">
        <f>62.1+201.555+485.285+61.4+60+1272.762</f>
        <v>2143.102</v>
      </c>
    </row>
    <row r="57" spans="1:9" s="5" customFormat="1" ht="12.75" customHeight="1">
      <c r="A57" s="8">
        <v>43</v>
      </c>
      <c r="B57" s="8" t="s">
        <v>97</v>
      </c>
      <c r="C57" s="8" t="s">
        <v>27</v>
      </c>
      <c r="D57" s="8" t="s">
        <v>98</v>
      </c>
      <c r="E57" s="8" t="s">
        <v>29</v>
      </c>
      <c r="F57" s="9">
        <v>366.666</v>
      </c>
      <c r="G57" s="10"/>
      <c r="H57" s="11">
        <f t="shared" si="1"/>
        <v>0</v>
      </c>
      <c r="I57" s="12">
        <f>67+131.26+51.1+689.16+113.3+436.86+450+364+245.705+128.8+783.94+2</f>
        <v>3463.125</v>
      </c>
    </row>
    <row r="58" spans="1:9" s="5" customFormat="1" ht="12.75" customHeight="1">
      <c r="A58" s="8">
        <v>44</v>
      </c>
      <c r="B58" s="8" t="s">
        <v>99</v>
      </c>
      <c r="C58" s="8" t="s">
        <v>27</v>
      </c>
      <c r="D58" s="8" t="s">
        <v>100</v>
      </c>
      <c r="E58" s="8" t="s">
        <v>29</v>
      </c>
      <c r="F58" s="9">
        <v>566.666</v>
      </c>
      <c r="G58" s="10"/>
      <c r="H58" s="11">
        <f t="shared" si="1"/>
        <v>0</v>
      </c>
      <c r="I58" s="12">
        <f>150+288.4+728.07+440+365.3+1546.5+673.5+881.7+490+1.2+1097.1+769.75+512+4.65+169.5+240+13.5+2384.6+184+9</f>
        <v>10948.77</v>
      </c>
    </row>
    <row r="59" spans="1:9" s="5" customFormat="1" ht="12.75" customHeight="1">
      <c r="A59" s="8">
        <v>45</v>
      </c>
      <c r="B59" s="8" t="s">
        <v>101</v>
      </c>
      <c r="C59" s="8" t="s">
        <v>27</v>
      </c>
      <c r="D59" s="8" t="s">
        <v>439</v>
      </c>
      <c r="E59" s="8" t="s">
        <v>29</v>
      </c>
      <c r="F59" s="9">
        <v>3.333</v>
      </c>
      <c r="G59" s="10"/>
      <c r="H59" s="11">
        <f t="shared" si="1"/>
        <v>0</v>
      </c>
      <c r="I59" s="12">
        <f>2.6+35.39+0.35+1.201+2.87</f>
        <v>42.411</v>
      </c>
    </row>
    <row r="60" spans="1:9" s="5" customFormat="1" ht="12.75" customHeight="1">
      <c r="A60" s="8">
        <v>46</v>
      </c>
      <c r="B60" s="8" t="s">
        <v>102</v>
      </c>
      <c r="C60" s="8" t="s">
        <v>27</v>
      </c>
      <c r="D60" s="8" t="s">
        <v>438</v>
      </c>
      <c r="E60" s="8" t="s">
        <v>29</v>
      </c>
      <c r="F60" s="9">
        <v>7.666</v>
      </c>
      <c r="G60" s="10"/>
      <c r="H60" s="11">
        <f t="shared" si="1"/>
        <v>0</v>
      </c>
      <c r="I60" s="12">
        <f>27.36+46.7</f>
        <v>74.06</v>
      </c>
    </row>
    <row r="61" spans="1:9" s="5" customFormat="1" ht="12.75" customHeight="1">
      <c r="A61" s="8">
        <v>47</v>
      </c>
      <c r="B61" s="8" t="s">
        <v>103</v>
      </c>
      <c r="C61" s="8" t="s">
        <v>27</v>
      </c>
      <c r="D61" s="8" t="s">
        <v>104</v>
      </c>
      <c r="E61" s="8" t="s">
        <v>63</v>
      </c>
      <c r="F61" s="9">
        <v>6</v>
      </c>
      <c r="G61" s="10"/>
      <c r="H61" s="11">
        <f t="shared" si="1"/>
        <v>0</v>
      </c>
      <c r="I61" s="12">
        <f>44+2</f>
        <v>46</v>
      </c>
    </row>
    <row r="62" spans="1:9" s="5" customFormat="1" ht="12.75" customHeight="1">
      <c r="A62" s="8">
        <v>48</v>
      </c>
      <c r="B62" s="15">
        <v>13173</v>
      </c>
      <c r="C62" s="8"/>
      <c r="D62" s="17" t="s">
        <v>518</v>
      </c>
      <c r="E62" s="17" t="s">
        <v>445</v>
      </c>
      <c r="F62" s="9">
        <v>336.666</v>
      </c>
      <c r="G62" s="10"/>
      <c r="H62" s="11">
        <f t="shared" si="1"/>
        <v>0</v>
      </c>
      <c r="I62" s="12">
        <v>2920.43</v>
      </c>
    </row>
    <row r="63" spans="1:9" s="5" customFormat="1" ht="12.75" customHeight="1">
      <c r="A63" s="8">
        <v>49</v>
      </c>
      <c r="B63" s="15">
        <v>13183</v>
      </c>
      <c r="C63" s="8" t="s">
        <v>27</v>
      </c>
      <c r="D63" s="17" t="s">
        <v>479</v>
      </c>
      <c r="E63" s="17" t="s">
        <v>445</v>
      </c>
      <c r="F63" s="9">
        <v>40</v>
      </c>
      <c r="G63" s="10"/>
      <c r="H63" s="11">
        <f t="shared" si="1"/>
        <v>0</v>
      </c>
      <c r="I63" s="12">
        <v>957.4</v>
      </c>
    </row>
    <row r="64" spans="1:9" s="5" customFormat="1" ht="12.75" customHeight="1">
      <c r="A64" s="8">
        <v>50</v>
      </c>
      <c r="B64" s="15">
        <v>13273</v>
      </c>
      <c r="C64" s="8"/>
      <c r="D64" s="17" t="s">
        <v>519</v>
      </c>
      <c r="E64" s="17" t="s">
        <v>445</v>
      </c>
      <c r="F64" s="9">
        <v>366.666</v>
      </c>
      <c r="G64" s="10"/>
      <c r="H64" s="11">
        <f t="shared" si="1"/>
        <v>0</v>
      </c>
      <c r="I64" s="12">
        <v>2863.38</v>
      </c>
    </row>
    <row r="65" spans="1:9" s="5" customFormat="1" ht="12.75" customHeight="1">
      <c r="A65" s="8">
        <v>51</v>
      </c>
      <c r="B65" s="15">
        <v>13283</v>
      </c>
      <c r="C65" s="8" t="s">
        <v>27</v>
      </c>
      <c r="D65" s="17" t="s">
        <v>480</v>
      </c>
      <c r="E65" s="8" t="s">
        <v>29</v>
      </c>
      <c r="F65" s="9">
        <v>23.333</v>
      </c>
      <c r="G65" s="10"/>
      <c r="H65" s="11">
        <f t="shared" si="1"/>
        <v>0</v>
      </c>
      <c r="I65" s="12">
        <v>539.47</v>
      </c>
    </row>
    <row r="66" spans="1:9" s="5" customFormat="1" ht="12.75" customHeight="1">
      <c r="A66" s="8">
        <v>52</v>
      </c>
      <c r="B66" s="15">
        <v>13373</v>
      </c>
      <c r="C66" s="8"/>
      <c r="D66" s="17" t="s">
        <v>520</v>
      </c>
      <c r="E66" s="17" t="s">
        <v>445</v>
      </c>
      <c r="F66" s="9">
        <v>10</v>
      </c>
      <c r="G66" s="10"/>
      <c r="H66" s="11">
        <f t="shared" si="1"/>
        <v>0</v>
      </c>
      <c r="I66" s="12">
        <v>87.62</v>
      </c>
    </row>
    <row r="67" spans="1:9" s="5" customFormat="1" ht="12.75" customHeight="1">
      <c r="A67" s="8">
        <v>53</v>
      </c>
      <c r="B67" s="15">
        <v>13383</v>
      </c>
      <c r="C67" s="8" t="s">
        <v>27</v>
      </c>
      <c r="D67" s="17" t="s">
        <v>481</v>
      </c>
      <c r="E67" s="8" t="s">
        <v>29</v>
      </c>
      <c r="F67" s="9">
        <v>2.066</v>
      </c>
      <c r="G67" s="10"/>
      <c r="H67" s="11">
        <f t="shared" si="1"/>
        <v>0</v>
      </c>
      <c r="I67" s="12">
        <v>29.49</v>
      </c>
    </row>
    <row r="68" spans="1:9" s="5" customFormat="1" ht="12.75" customHeight="1">
      <c r="A68" s="8">
        <v>54</v>
      </c>
      <c r="B68" s="15">
        <v>171103</v>
      </c>
      <c r="C68" s="8"/>
      <c r="D68" s="8" t="s">
        <v>461</v>
      </c>
      <c r="E68" s="8" t="s">
        <v>445</v>
      </c>
      <c r="F68" s="9">
        <v>173.333</v>
      </c>
      <c r="G68" s="10"/>
      <c r="H68" s="11">
        <f t="shared" si="1"/>
        <v>0</v>
      </c>
      <c r="I68" s="12">
        <v>2227.44</v>
      </c>
    </row>
    <row r="69" spans="1:9" s="5" customFormat="1" ht="12.75" customHeight="1">
      <c r="A69" s="8">
        <v>55</v>
      </c>
      <c r="B69" s="15">
        <v>17180</v>
      </c>
      <c r="C69" s="8"/>
      <c r="D69" s="17" t="s">
        <v>521</v>
      </c>
      <c r="E69" s="17" t="s">
        <v>445</v>
      </c>
      <c r="F69" s="9">
        <v>500</v>
      </c>
      <c r="G69" s="10"/>
      <c r="H69" s="11">
        <f t="shared" si="1"/>
        <v>0</v>
      </c>
      <c r="I69" s="12">
        <v>6218.17</v>
      </c>
    </row>
    <row r="70" spans="1:9" s="5" customFormat="1" ht="12.75" customHeight="1">
      <c r="A70" s="8">
        <v>56</v>
      </c>
      <c r="B70" s="15">
        <v>17310</v>
      </c>
      <c r="C70" s="8"/>
      <c r="D70" s="8" t="s">
        <v>462</v>
      </c>
      <c r="E70" s="8" t="s">
        <v>445</v>
      </c>
      <c r="F70" s="9">
        <v>153.333</v>
      </c>
      <c r="G70" s="10"/>
      <c r="H70" s="11">
        <f t="shared" si="1"/>
        <v>0</v>
      </c>
      <c r="I70" s="12">
        <f>18+20.1+65.45+123.18+229.23+156.341+262.116+623.8+29.55+98.3+109.01+122.85+7.38+31+128.25+54</f>
        <v>2078.557</v>
      </c>
    </row>
    <row r="71" spans="1:9" s="5" customFormat="1" ht="12.75" customHeight="1">
      <c r="A71" s="8">
        <v>57</v>
      </c>
      <c r="B71" s="15">
        <v>17411</v>
      </c>
      <c r="C71" s="8"/>
      <c r="D71" s="17" t="s">
        <v>478</v>
      </c>
      <c r="E71" s="17" t="s">
        <v>445</v>
      </c>
      <c r="F71" s="9">
        <v>273.333</v>
      </c>
      <c r="G71" s="10"/>
      <c r="H71" s="11">
        <f t="shared" si="1"/>
        <v>0</v>
      </c>
      <c r="I71" s="12">
        <f>44.626+128.4+373.75+16.15+1.2+11.41+9.508+145.111+36.82+49.66+1081.5</f>
        <v>1898.1350000000002</v>
      </c>
    </row>
    <row r="72" spans="1:9" s="5" customFormat="1" ht="12.75" customHeight="1">
      <c r="A72" s="8">
        <v>58</v>
      </c>
      <c r="B72" s="8" t="s">
        <v>105</v>
      </c>
      <c r="C72" s="8" t="s">
        <v>27</v>
      </c>
      <c r="D72" s="8" t="s">
        <v>106</v>
      </c>
      <c r="E72" s="8" t="s">
        <v>29</v>
      </c>
      <c r="F72" s="9">
        <v>56.666</v>
      </c>
      <c r="G72" s="10"/>
      <c r="H72" s="11">
        <f t="shared" si="1"/>
        <v>0</v>
      </c>
      <c r="I72" s="12">
        <f>3.8+20.15+44.626+39.9+262.23</f>
        <v>370.706</v>
      </c>
    </row>
    <row r="73" spans="1:9" s="5" customFormat="1" ht="12.75" customHeight="1">
      <c r="A73" s="8">
        <v>59</v>
      </c>
      <c r="B73" s="15">
        <v>17511</v>
      </c>
      <c r="C73" s="8"/>
      <c r="D73" s="17" t="s">
        <v>522</v>
      </c>
      <c r="E73" s="17" t="s">
        <v>445</v>
      </c>
      <c r="F73" s="9">
        <v>47</v>
      </c>
      <c r="G73" s="10"/>
      <c r="H73" s="11">
        <f t="shared" si="1"/>
        <v>0</v>
      </c>
      <c r="I73" s="12">
        <v>586.28</v>
      </c>
    </row>
    <row r="74" spans="1:9" s="5" customFormat="1" ht="12.75" customHeight="1">
      <c r="A74" s="8">
        <v>60</v>
      </c>
      <c r="B74" s="15">
        <v>17581</v>
      </c>
      <c r="C74" s="8"/>
      <c r="D74" s="13" t="s">
        <v>453</v>
      </c>
      <c r="E74" s="13" t="s">
        <v>445</v>
      </c>
      <c r="F74" s="9">
        <v>243.333</v>
      </c>
      <c r="G74" s="10"/>
      <c r="H74" s="11">
        <f t="shared" si="1"/>
        <v>0</v>
      </c>
      <c r="I74" s="12">
        <v>2097.66</v>
      </c>
    </row>
    <row r="75" spans="1:9" s="5" customFormat="1" ht="12.75" customHeight="1">
      <c r="A75" s="8">
        <v>61</v>
      </c>
      <c r="B75" s="8" t="s">
        <v>107</v>
      </c>
      <c r="C75" s="8" t="s">
        <v>27</v>
      </c>
      <c r="D75" s="8" t="s">
        <v>108</v>
      </c>
      <c r="E75" s="8" t="s">
        <v>36</v>
      </c>
      <c r="F75" s="9">
        <v>4666.666</v>
      </c>
      <c r="G75" s="10"/>
      <c r="H75" s="11">
        <f t="shared" si="1"/>
        <v>0</v>
      </c>
      <c r="I75" s="12">
        <f>70+2074.18+758.8+2015.7+365.2+140.54+209.9+275.5+738+530.41+1257.243+920.8+822.22+1306.31+9763.59+7483.845+591+491.5+336+6421.35+6449.64+24.2+24.2+27+1299.1+600+1800+2628.14+1858.2+202.5</f>
        <v>51485.067999999985</v>
      </c>
    </row>
    <row r="76" spans="1:9" s="5" customFormat="1" ht="12.75" customHeight="1">
      <c r="A76" s="8">
        <v>62</v>
      </c>
      <c r="B76" s="8" t="s">
        <v>109</v>
      </c>
      <c r="C76" s="8" t="s">
        <v>27</v>
      </c>
      <c r="D76" s="8" t="s">
        <v>110</v>
      </c>
      <c r="E76" s="8" t="s">
        <v>29</v>
      </c>
      <c r="F76" s="9">
        <v>213.333</v>
      </c>
      <c r="G76" s="10"/>
      <c r="H76" s="11">
        <f t="shared" si="1"/>
        <v>0</v>
      </c>
      <c r="I76" s="12">
        <f>30.86+17.54+43.58+1753.97+117.3+788.84+189</f>
        <v>2941.09</v>
      </c>
    </row>
    <row r="77" spans="1:9" s="5" customFormat="1" ht="12.75" customHeight="1">
      <c r="A77" s="8">
        <v>63</v>
      </c>
      <c r="B77" s="8" t="s">
        <v>111</v>
      </c>
      <c r="C77" s="8" t="s">
        <v>27</v>
      </c>
      <c r="D77" s="8" t="s">
        <v>112</v>
      </c>
      <c r="E77" s="8" t="s">
        <v>29</v>
      </c>
      <c r="F77" s="9">
        <v>56.666</v>
      </c>
      <c r="G77" s="10"/>
      <c r="H77" s="11">
        <f t="shared" si="1"/>
        <v>0</v>
      </c>
      <c r="I77" s="12">
        <f>90+104.5+18.51+77.7+4.629+2.63+58.1+156.4+15.3+16.64+2.07+2.16+2.13+173.26</f>
        <v>724.029</v>
      </c>
    </row>
    <row r="78" spans="1:9" s="5" customFormat="1" ht="12.75" customHeight="1">
      <c r="A78" s="8">
        <v>64</v>
      </c>
      <c r="B78" s="8" t="s">
        <v>113</v>
      </c>
      <c r="C78" s="8" t="s">
        <v>27</v>
      </c>
      <c r="D78" s="8" t="s">
        <v>114</v>
      </c>
      <c r="E78" s="8" t="s">
        <v>29</v>
      </c>
      <c r="F78" s="9">
        <v>21.333</v>
      </c>
      <c r="G78" s="10"/>
      <c r="H78" s="11">
        <f t="shared" si="1"/>
        <v>0</v>
      </c>
      <c r="I78" s="12">
        <f>139.75+207.592+15.4</f>
        <v>362.74199999999996</v>
      </c>
    </row>
    <row r="79" spans="1:9" s="5" customFormat="1" ht="12.75" customHeight="1">
      <c r="A79" s="8">
        <v>65</v>
      </c>
      <c r="B79" s="8" t="s">
        <v>115</v>
      </c>
      <c r="C79" s="8" t="s">
        <v>27</v>
      </c>
      <c r="D79" s="8" t="s">
        <v>116</v>
      </c>
      <c r="E79" s="8" t="s">
        <v>36</v>
      </c>
      <c r="F79" s="9">
        <v>1000</v>
      </c>
      <c r="G79" s="10"/>
      <c r="H79" s="11">
        <f t="shared" si="1"/>
        <v>0</v>
      </c>
      <c r="I79" s="12">
        <f>76.1+900+1045+219.54+275.5+30.86+17.54+9060.34+8670.45+102+2075.92+110.93+154+378+600+866.31</f>
        <v>24582.49</v>
      </c>
    </row>
    <row r="80" spans="1:9" s="5" customFormat="1" ht="12.75" customHeight="1">
      <c r="A80" s="8">
        <v>66</v>
      </c>
      <c r="B80" s="15">
        <v>184722</v>
      </c>
      <c r="C80" s="8"/>
      <c r="D80" s="17" t="s">
        <v>514</v>
      </c>
      <c r="E80" s="17" t="s">
        <v>63</v>
      </c>
      <c r="F80" s="9">
        <v>2</v>
      </c>
      <c r="G80" s="10"/>
      <c r="H80" s="11">
        <f t="shared" si="1"/>
        <v>0</v>
      </c>
      <c r="I80" s="12">
        <f>56</f>
        <v>56</v>
      </c>
    </row>
    <row r="81" spans="1:9" s="5" customFormat="1" ht="12.75" customHeight="1">
      <c r="A81" s="8">
        <v>67</v>
      </c>
      <c r="B81" s="24" t="s">
        <v>513</v>
      </c>
      <c r="C81" s="8"/>
      <c r="D81" s="17" t="s">
        <v>517</v>
      </c>
      <c r="E81" s="8" t="s">
        <v>63</v>
      </c>
      <c r="F81" s="9">
        <v>1</v>
      </c>
      <c r="G81" s="10"/>
      <c r="H81" s="11">
        <f t="shared" si="1"/>
        <v>0</v>
      </c>
      <c r="I81" s="12">
        <f>2+5+3</f>
        <v>10</v>
      </c>
    </row>
    <row r="82" spans="1:9" s="5" customFormat="1" ht="12.75" customHeight="1">
      <c r="A82" s="8">
        <v>68</v>
      </c>
      <c r="B82" s="24" t="s">
        <v>515</v>
      </c>
      <c r="C82" s="8"/>
      <c r="D82" s="17" t="s">
        <v>516</v>
      </c>
      <c r="E82" s="17" t="s">
        <v>63</v>
      </c>
      <c r="F82" s="9">
        <v>1</v>
      </c>
      <c r="G82" s="10"/>
      <c r="H82" s="11">
        <f t="shared" si="1"/>
        <v>0</v>
      </c>
      <c r="I82" s="12"/>
    </row>
    <row r="83" spans="1:15" s="5" customFormat="1" ht="12.75" customHeight="1">
      <c r="A83" s="14"/>
      <c r="B83" s="14"/>
      <c r="C83" s="14" t="s">
        <v>9</v>
      </c>
      <c r="D83" s="14" t="s">
        <v>71</v>
      </c>
      <c r="E83" s="14"/>
      <c r="F83" s="14"/>
      <c r="G83" s="14"/>
      <c r="H83" s="14">
        <f>SUM(H39:H82)</f>
        <v>0</v>
      </c>
      <c r="I83" s="16"/>
      <c r="O83" s="5">
        <f>ROUND(SUM(O39:O79),2)</f>
        <v>0</v>
      </c>
    </row>
    <row r="84" s="5" customFormat="1" ht="12.75" customHeight="1">
      <c r="I84" s="16"/>
    </row>
    <row r="85" spans="1:9" s="5" customFormat="1" ht="12.75" customHeight="1">
      <c r="A85" s="6"/>
      <c r="B85" s="6"/>
      <c r="C85" s="6" t="s">
        <v>17</v>
      </c>
      <c r="D85" s="6" t="s">
        <v>119</v>
      </c>
      <c r="E85" s="6"/>
      <c r="F85" s="7"/>
      <c r="G85" s="6"/>
      <c r="H85" s="7"/>
      <c r="I85" s="16"/>
    </row>
    <row r="86" spans="1:9" s="5" customFormat="1" ht="12.75" customHeight="1">
      <c r="A86" s="8">
        <v>69</v>
      </c>
      <c r="B86" s="15">
        <v>212646</v>
      </c>
      <c r="C86" s="8" t="s">
        <v>27</v>
      </c>
      <c r="D86" s="8" t="s">
        <v>493</v>
      </c>
      <c r="E86" s="8" t="s">
        <v>88</v>
      </c>
      <c r="F86" s="9">
        <v>93.333</v>
      </c>
      <c r="G86" s="10"/>
      <c r="H86" s="11">
        <f>ROUND((G86*F86),2)</f>
        <v>0</v>
      </c>
      <c r="I86" s="12">
        <f>48.13+53.1+34+253+477+908.5</f>
        <v>1773.73</v>
      </c>
    </row>
    <row r="87" spans="1:9" s="5" customFormat="1" ht="12.75" customHeight="1">
      <c r="A87" s="8">
        <v>70</v>
      </c>
      <c r="B87" s="15">
        <v>21361</v>
      </c>
      <c r="C87" s="8"/>
      <c r="D87" s="8" t="s">
        <v>463</v>
      </c>
      <c r="E87" s="8" t="s">
        <v>385</v>
      </c>
      <c r="F87" s="9">
        <v>300</v>
      </c>
      <c r="G87" s="10"/>
      <c r="H87" s="11">
        <f>ROUND((G87*F87),2)</f>
        <v>0</v>
      </c>
      <c r="I87" s="12">
        <f>2015.7+259+119+112.5+799.5+387+591+978.1+1704</f>
        <v>6965.8</v>
      </c>
    </row>
    <row r="88" spans="1:15" s="5" customFormat="1" ht="12.75" customHeight="1">
      <c r="A88" s="14"/>
      <c r="B88" s="14"/>
      <c r="C88" s="14" t="s">
        <v>17</v>
      </c>
      <c r="D88" s="14" t="s">
        <v>119</v>
      </c>
      <c r="E88" s="14"/>
      <c r="F88" s="14"/>
      <c r="G88" s="14"/>
      <c r="H88" s="14">
        <f>SUM(H86:H87)</f>
        <v>0</v>
      </c>
      <c r="I88" s="16"/>
      <c r="O88" s="5">
        <f>ROUND(SUM(O86:O86),2)</f>
        <v>0</v>
      </c>
    </row>
    <row r="89" s="5" customFormat="1" ht="12.75" customHeight="1">
      <c r="I89" s="16"/>
    </row>
    <row r="90" spans="1:9" s="5" customFormat="1" ht="12.75" customHeight="1">
      <c r="A90" s="6"/>
      <c r="B90" s="6"/>
      <c r="C90" s="6" t="s">
        <v>18</v>
      </c>
      <c r="D90" s="6" t="s">
        <v>120</v>
      </c>
      <c r="E90" s="6"/>
      <c r="F90" s="7"/>
      <c r="G90" s="6"/>
      <c r="H90" s="7"/>
      <c r="I90" s="16"/>
    </row>
    <row r="91" spans="1:9" s="5" customFormat="1" ht="12.75" customHeight="1">
      <c r="A91" s="8">
        <v>71</v>
      </c>
      <c r="B91" s="8" t="s">
        <v>121</v>
      </c>
      <c r="C91" s="8" t="s">
        <v>27</v>
      </c>
      <c r="D91" s="8" t="s">
        <v>437</v>
      </c>
      <c r="E91" s="8" t="s">
        <v>29</v>
      </c>
      <c r="F91" s="9">
        <v>18.666</v>
      </c>
      <c r="G91" s="10"/>
      <c r="H91" s="11">
        <f>ROUND((G91*F91),2)</f>
        <v>0</v>
      </c>
      <c r="I91" s="12">
        <f>8.505+11.46+5.916+1.656+113.73</f>
        <v>141.267</v>
      </c>
    </row>
    <row r="92" spans="1:9" s="5" customFormat="1" ht="12.75" customHeight="1">
      <c r="A92" s="8">
        <v>72</v>
      </c>
      <c r="B92" s="8" t="s">
        <v>122</v>
      </c>
      <c r="C92" s="8" t="s">
        <v>27</v>
      </c>
      <c r="D92" s="8" t="s">
        <v>436</v>
      </c>
      <c r="E92" s="8" t="s">
        <v>123</v>
      </c>
      <c r="F92" s="9">
        <v>2.476</v>
      </c>
      <c r="G92" s="10"/>
      <c r="H92" s="11">
        <f>ROUND((G92*F92),2)</f>
        <v>0</v>
      </c>
      <c r="I92" s="12">
        <f>1.105+0.85+0.59+0.25+15.93</f>
        <v>18.725</v>
      </c>
    </row>
    <row r="93" spans="1:15" s="5" customFormat="1" ht="12.75" customHeight="1">
      <c r="A93" s="14"/>
      <c r="B93" s="14"/>
      <c r="C93" s="14" t="s">
        <v>18</v>
      </c>
      <c r="D93" s="14" t="s">
        <v>120</v>
      </c>
      <c r="E93" s="14"/>
      <c r="F93" s="14"/>
      <c r="G93" s="14"/>
      <c r="H93" s="14">
        <f>SUM(H91:H92)</f>
        <v>0</v>
      </c>
      <c r="I93" s="16"/>
      <c r="O93" s="5">
        <f>ROUND(SUM(O91:O92),2)</f>
        <v>0</v>
      </c>
    </row>
    <row r="94" s="5" customFormat="1" ht="12.75" customHeight="1">
      <c r="I94" s="16"/>
    </row>
    <row r="95" spans="1:9" s="5" customFormat="1" ht="12.75" customHeight="1">
      <c r="A95" s="6"/>
      <c r="B95" s="6"/>
      <c r="C95" s="6" t="s">
        <v>19</v>
      </c>
      <c r="D95" s="6" t="s">
        <v>124</v>
      </c>
      <c r="E95" s="6"/>
      <c r="F95" s="7"/>
      <c r="G95" s="6"/>
      <c r="H95" s="6"/>
      <c r="I95" s="16"/>
    </row>
    <row r="96" spans="1:9" s="5" customFormat="1" ht="12.75" customHeight="1">
      <c r="A96" s="8">
        <v>73</v>
      </c>
      <c r="B96" s="8" t="s">
        <v>125</v>
      </c>
      <c r="C96" s="8" t="s">
        <v>27</v>
      </c>
      <c r="D96" s="8" t="s">
        <v>435</v>
      </c>
      <c r="E96" s="8" t="s">
        <v>29</v>
      </c>
      <c r="F96" s="9">
        <v>10</v>
      </c>
      <c r="G96" s="10"/>
      <c r="H96" s="11">
        <f aca="true" t="shared" si="2" ref="H96:H104">ROUND((G96*F96),2)</f>
        <v>0</v>
      </c>
      <c r="I96" s="12">
        <f>0.42+16.4+8.038+12.37+1.8+6.15+2.668+1.464+7.03+0.8+1.84+0.54+4.5+120.99</f>
        <v>185.01</v>
      </c>
    </row>
    <row r="97" spans="1:9" s="5" customFormat="1" ht="12.75" customHeight="1">
      <c r="A97" s="8">
        <v>74</v>
      </c>
      <c r="B97" s="8" t="s">
        <v>126</v>
      </c>
      <c r="C97" s="8" t="s">
        <v>27</v>
      </c>
      <c r="D97" s="8" t="s">
        <v>434</v>
      </c>
      <c r="E97" s="8" t="s">
        <v>29</v>
      </c>
      <c r="F97" s="9">
        <v>76.666</v>
      </c>
      <c r="G97" s="10"/>
      <c r="H97" s="11">
        <f t="shared" si="2"/>
        <v>0</v>
      </c>
      <c r="I97" s="12">
        <f>66.15+1.26+2.7+4.392+72.9+3+3+441+74.39</f>
        <v>668.792</v>
      </c>
    </row>
    <row r="98" spans="1:9" s="5" customFormat="1" ht="12.75" customHeight="1">
      <c r="A98" s="8">
        <v>75</v>
      </c>
      <c r="B98" s="8" t="s">
        <v>127</v>
      </c>
      <c r="C98" s="8" t="s">
        <v>27</v>
      </c>
      <c r="D98" s="8" t="s">
        <v>433</v>
      </c>
      <c r="E98" s="8" t="s">
        <v>29</v>
      </c>
      <c r="F98" s="9">
        <v>1.333</v>
      </c>
      <c r="G98" s="10"/>
      <c r="H98" s="11">
        <f t="shared" si="2"/>
        <v>0</v>
      </c>
      <c r="I98" s="12">
        <f>4.576+2.76</f>
        <v>7.335999999999999</v>
      </c>
    </row>
    <row r="99" spans="1:9" s="5" customFormat="1" ht="12.75" customHeight="1">
      <c r="A99" s="8">
        <v>76</v>
      </c>
      <c r="B99" s="8" t="s">
        <v>128</v>
      </c>
      <c r="C99" s="8" t="s">
        <v>27</v>
      </c>
      <c r="D99" s="8" t="s">
        <v>431</v>
      </c>
      <c r="E99" s="8" t="s">
        <v>123</v>
      </c>
      <c r="F99" s="9">
        <v>0.06</v>
      </c>
      <c r="G99" s="10"/>
      <c r="H99" s="11">
        <f t="shared" si="2"/>
        <v>0</v>
      </c>
      <c r="I99" s="12">
        <f>0.01+0.34</f>
        <v>0.35000000000000003</v>
      </c>
    </row>
    <row r="100" spans="1:9" s="5" customFormat="1" ht="12.75" customHeight="1">
      <c r="A100" s="8">
        <v>77</v>
      </c>
      <c r="B100" s="8" t="s">
        <v>129</v>
      </c>
      <c r="C100" s="8" t="s">
        <v>27</v>
      </c>
      <c r="D100" s="8" t="s">
        <v>432</v>
      </c>
      <c r="E100" s="8" t="s">
        <v>29</v>
      </c>
      <c r="F100" s="9">
        <v>2.333</v>
      </c>
      <c r="G100" s="10"/>
      <c r="H100" s="11">
        <f t="shared" si="2"/>
        <v>0</v>
      </c>
      <c r="I100" s="12">
        <f>10.5+1.722</f>
        <v>12.222</v>
      </c>
    </row>
    <row r="101" spans="1:9" s="5" customFormat="1" ht="12.75" customHeight="1">
      <c r="A101" s="8">
        <v>78</v>
      </c>
      <c r="B101" s="15">
        <v>45152</v>
      </c>
      <c r="C101" s="8" t="s">
        <v>27</v>
      </c>
      <c r="D101" s="8" t="s">
        <v>496</v>
      </c>
      <c r="E101" s="8" t="s">
        <v>29</v>
      </c>
      <c r="F101" s="9">
        <v>6.666</v>
      </c>
      <c r="G101" s="10"/>
      <c r="H101" s="11">
        <f t="shared" si="2"/>
        <v>0</v>
      </c>
      <c r="I101" s="12">
        <f>2.025+22.2+4.84+5.4</f>
        <v>34.464999999999996</v>
      </c>
    </row>
    <row r="102" spans="1:9" s="5" customFormat="1" ht="12.75" customHeight="1">
      <c r="A102" s="8">
        <v>79</v>
      </c>
      <c r="B102" s="15">
        <v>46251</v>
      </c>
      <c r="C102" s="8"/>
      <c r="D102" s="8" t="s">
        <v>495</v>
      </c>
      <c r="E102" s="8" t="s">
        <v>29</v>
      </c>
      <c r="F102" s="9">
        <v>22</v>
      </c>
      <c r="G102" s="10"/>
      <c r="H102" s="11">
        <f t="shared" si="2"/>
        <v>0</v>
      </c>
      <c r="I102" s="12">
        <f>141.84+32.9</f>
        <v>174.74</v>
      </c>
    </row>
    <row r="103" spans="1:9" s="5" customFormat="1" ht="12.75" customHeight="1">
      <c r="A103" s="8">
        <v>80</v>
      </c>
      <c r="B103" s="15">
        <v>46321</v>
      </c>
      <c r="C103" s="8"/>
      <c r="D103" s="8" t="s">
        <v>499</v>
      </c>
      <c r="E103" s="8" t="s">
        <v>29</v>
      </c>
      <c r="F103" s="9">
        <v>17.333</v>
      </c>
      <c r="G103" s="10"/>
      <c r="H103" s="11">
        <f t="shared" si="2"/>
        <v>0</v>
      </c>
      <c r="I103" s="12">
        <f>191.87</f>
        <v>191.87</v>
      </c>
    </row>
    <row r="104" spans="1:9" s="5" customFormat="1" ht="12.75" customHeight="1">
      <c r="A104" s="8">
        <v>81</v>
      </c>
      <c r="B104" s="8" t="s">
        <v>130</v>
      </c>
      <c r="C104" s="8" t="s">
        <v>27</v>
      </c>
      <c r="D104" s="8" t="s">
        <v>430</v>
      </c>
      <c r="E104" s="8" t="s">
        <v>29</v>
      </c>
      <c r="F104" s="9">
        <v>70</v>
      </c>
      <c r="G104" s="10"/>
      <c r="H104" s="11">
        <f t="shared" si="2"/>
        <v>0</v>
      </c>
      <c r="I104" s="12">
        <f>15.75+67.624+9.6+1.25+4.15+61.509+26.68+14+70.296+27.6+6.67+44.8+0.3+176.123</f>
        <v>526.3520000000001</v>
      </c>
    </row>
    <row r="105" spans="1:15" s="5" customFormat="1" ht="12.75" customHeight="1">
      <c r="A105" s="14"/>
      <c r="B105" s="14"/>
      <c r="C105" s="14" t="s">
        <v>19</v>
      </c>
      <c r="D105" s="14" t="s">
        <v>124</v>
      </c>
      <c r="E105" s="14"/>
      <c r="F105" s="14"/>
      <c r="G105" s="14"/>
      <c r="H105" s="14">
        <f>SUM(H96:H104)</f>
        <v>0</v>
      </c>
      <c r="I105" s="16"/>
      <c r="O105" s="5">
        <f>ROUND(SUM(O96:O104),2)</f>
        <v>0</v>
      </c>
    </row>
    <row r="106" s="5" customFormat="1" ht="12.75" customHeight="1">
      <c r="I106" s="16"/>
    </row>
    <row r="107" spans="1:9" s="5" customFormat="1" ht="12.75" customHeight="1">
      <c r="A107" s="6"/>
      <c r="B107" s="6"/>
      <c r="C107" s="6" t="s">
        <v>20</v>
      </c>
      <c r="D107" s="6" t="s">
        <v>131</v>
      </c>
      <c r="E107" s="6"/>
      <c r="F107" s="7"/>
      <c r="G107" s="6"/>
      <c r="H107" s="6"/>
      <c r="I107" s="16"/>
    </row>
    <row r="108" spans="1:9" s="5" customFormat="1" ht="12.75" customHeight="1">
      <c r="A108" s="8">
        <v>82</v>
      </c>
      <c r="B108" s="8" t="s">
        <v>132</v>
      </c>
      <c r="C108" s="8" t="s">
        <v>27</v>
      </c>
      <c r="D108" s="8" t="s">
        <v>133</v>
      </c>
      <c r="E108" s="8" t="s">
        <v>29</v>
      </c>
      <c r="F108" s="9">
        <v>20</v>
      </c>
      <c r="G108" s="10"/>
      <c r="H108" s="11">
        <f aca="true" t="shared" si="3" ref="H108:H142">ROUND((G108*F108),2)</f>
        <v>0</v>
      </c>
      <c r="I108" s="12">
        <f>39.95+15.48+107.52+2.93+3.06+3.06+33.5</f>
        <v>205.5</v>
      </c>
    </row>
    <row r="109" spans="1:9" s="5" customFormat="1" ht="12.75" customHeight="1">
      <c r="A109" s="8">
        <v>83</v>
      </c>
      <c r="B109" s="8" t="s">
        <v>134</v>
      </c>
      <c r="C109" s="8" t="s">
        <v>27</v>
      </c>
      <c r="D109" s="8" t="s">
        <v>135</v>
      </c>
      <c r="E109" s="8" t="s">
        <v>29</v>
      </c>
      <c r="F109" s="9">
        <v>80</v>
      </c>
      <c r="G109" s="10"/>
      <c r="H109" s="11">
        <f t="shared" si="3"/>
        <v>0</v>
      </c>
      <c r="I109" s="12"/>
    </row>
    <row r="110" spans="1:9" s="5" customFormat="1" ht="12.75" customHeight="1">
      <c r="A110" s="8">
        <v>84</v>
      </c>
      <c r="B110" s="8" t="s">
        <v>136</v>
      </c>
      <c r="C110" s="8" t="s">
        <v>27</v>
      </c>
      <c r="D110" s="8" t="s">
        <v>137</v>
      </c>
      <c r="E110" s="8" t="s">
        <v>29</v>
      </c>
      <c r="F110" s="9">
        <v>366.666</v>
      </c>
      <c r="G110" s="10"/>
      <c r="H110" s="11">
        <f t="shared" si="3"/>
        <v>0</v>
      </c>
      <c r="I110" s="12">
        <f>57.6+98.7+8.125+1.255+1.063+187.72+281.94+6.44+305.93+419.22+21.72+1942.61+5.25+1.4+1486.64+2.33+14.18+214.73+1.64+1235.42+0.8+9.1+2.76+2.34+165.41+3.4+3.4+3.72+268.38+33.5+53+70.5+0.14+39.75+2883.01+420</f>
        <v>10253.123000000001</v>
      </c>
    </row>
    <row r="111" spans="1:9" s="5" customFormat="1" ht="12.75" customHeight="1">
      <c r="A111" s="8">
        <v>85</v>
      </c>
      <c r="B111" s="8" t="s">
        <v>138</v>
      </c>
      <c r="C111" s="8" t="s">
        <v>27</v>
      </c>
      <c r="D111" s="8" t="s">
        <v>139</v>
      </c>
      <c r="E111" s="8" t="s">
        <v>29</v>
      </c>
      <c r="F111" s="9">
        <v>210</v>
      </c>
      <c r="G111" s="10"/>
      <c r="H111" s="11">
        <f t="shared" si="3"/>
        <v>0</v>
      </c>
      <c r="I111" s="12">
        <f>1272+6.28+33.5+1.75</f>
        <v>1313.53</v>
      </c>
    </row>
    <row r="112" spans="1:9" s="5" customFormat="1" ht="12.75" customHeight="1">
      <c r="A112" s="8">
        <v>86</v>
      </c>
      <c r="B112" s="15">
        <v>56363</v>
      </c>
      <c r="C112" s="8"/>
      <c r="D112" s="8" t="s">
        <v>386</v>
      </c>
      <c r="E112" s="8" t="s">
        <v>385</v>
      </c>
      <c r="F112" s="9">
        <v>4666.666</v>
      </c>
      <c r="G112" s="10"/>
      <c r="H112" s="11">
        <f t="shared" si="3"/>
        <v>0</v>
      </c>
      <c r="I112" s="12">
        <f>9948.059+11582.684+981.6+9799.33+2072.545+5806.53</f>
        <v>40190.74799999999</v>
      </c>
    </row>
    <row r="113" spans="1:9" s="5" customFormat="1" ht="12.75" customHeight="1">
      <c r="A113" s="8">
        <v>87</v>
      </c>
      <c r="B113" s="15">
        <v>56364</v>
      </c>
      <c r="C113" s="8"/>
      <c r="D113" s="8" t="s">
        <v>387</v>
      </c>
      <c r="E113" s="8" t="s">
        <v>385</v>
      </c>
      <c r="F113" s="9">
        <v>666.666</v>
      </c>
      <c r="G113" s="10"/>
      <c r="H113" s="11">
        <f t="shared" si="3"/>
        <v>0</v>
      </c>
      <c r="I113" s="12">
        <f>1212.75+1473.1+1634.625+4908</f>
        <v>9228.475</v>
      </c>
    </row>
    <row r="114" spans="1:9" s="5" customFormat="1" ht="12.75" customHeight="1">
      <c r="A114" s="8">
        <v>88</v>
      </c>
      <c r="B114" s="15">
        <v>56365</v>
      </c>
      <c r="C114" s="8"/>
      <c r="D114" s="8" t="s">
        <v>388</v>
      </c>
      <c r="E114" s="8" t="s">
        <v>385</v>
      </c>
      <c r="F114" s="9">
        <v>3000</v>
      </c>
      <c r="G114" s="10"/>
      <c r="H114" s="11">
        <f t="shared" si="3"/>
        <v>0</v>
      </c>
      <c r="I114" s="12">
        <f>11258.916+2732.39+12916.88</f>
        <v>26908.185999999998</v>
      </c>
    </row>
    <row r="115" spans="1:9" s="5" customFormat="1" ht="12.75" customHeight="1">
      <c r="A115" s="8">
        <v>89</v>
      </c>
      <c r="B115" s="15">
        <v>56366</v>
      </c>
      <c r="C115" s="8"/>
      <c r="D115" s="8" t="s">
        <v>389</v>
      </c>
      <c r="E115" s="8" t="s">
        <v>385</v>
      </c>
      <c r="F115" s="9">
        <v>54</v>
      </c>
      <c r="G115" s="10"/>
      <c r="H115" s="11">
        <f t="shared" si="3"/>
        <v>0</v>
      </c>
      <c r="I115" s="12">
        <f>200+1250</f>
        <v>1450</v>
      </c>
    </row>
    <row r="116" spans="1:9" s="5" customFormat="1" ht="12.75" customHeight="1">
      <c r="A116" s="8">
        <v>90</v>
      </c>
      <c r="B116" s="15">
        <v>56930</v>
      </c>
      <c r="C116" s="8"/>
      <c r="D116" s="8" t="s">
        <v>500</v>
      </c>
      <c r="E116" s="8" t="s">
        <v>29</v>
      </c>
      <c r="F116" s="9">
        <v>23.333</v>
      </c>
      <c r="G116" s="10"/>
      <c r="H116" s="11">
        <f t="shared" si="3"/>
        <v>0</v>
      </c>
      <c r="I116" s="12">
        <f>49.02+23.4+15.7+2.8+35.6+42.7</f>
        <v>169.22000000000003</v>
      </c>
    </row>
    <row r="117" spans="1:9" s="5" customFormat="1" ht="12.75" customHeight="1">
      <c r="A117" s="8">
        <v>91</v>
      </c>
      <c r="B117" s="8" t="s">
        <v>117</v>
      </c>
      <c r="C117" s="8" t="s">
        <v>27</v>
      </c>
      <c r="D117" s="8" t="s">
        <v>118</v>
      </c>
      <c r="E117" s="8" t="s">
        <v>29</v>
      </c>
      <c r="F117" s="9">
        <v>180</v>
      </c>
      <c r="G117" s="10"/>
      <c r="H117" s="11">
        <f t="shared" si="3"/>
        <v>0</v>
      </c>
      <c r="I117" s="12">
        <f>66+98.45+30+8.435+3.62+93.57+3.08+64.19+516.87+178.98+337.5+268+853.27+73.75+2.63</f>
        <v>2598.3450000000003</v>
      </c>
    </row>
    <row r="118" spans="1:9" s="5" customFormat="1" ht="12.75" customHeight="1">
      <c r="A118" s="8">
        <v>92</v>
      </c>
      <c r="B118" s="8" t="s">
        <v>140</v>
      </c>
      <c r="C118" s="8" t="s">
        <v>27</v>
      </c>
      <c r="D118" s="8" t="s">
        <v>141</v>
      </c>
      <c r="E118" s="8" t="s">
        <v>36</v>
      </c>
      <c r="F118" s="9">
        <v>5333.333</v>
      </c>
      <c r="G118" s="10"/>
      <c r="H118" s="11">
        <f t="shared" si="3"/>
        <v>0</v>
      </c>
      <c r="I118" s="12">
        <f>8420+13989.3+340+92.76+329+564+47.51+1087+12648.325+10955.45+4908+211+9799.33+7879.075+121.4+827.04+19.5+20.4+19.5+20+3384.7+1400</f>
        <v>77083.28999999998</v>
      </c>
    </row>
    <row r="119" spans="1:9" s="5" customFormat="1" ht="12.75" customHeight="1">
      <c r="A119" s="8">
        <v>93</v>
      </c>
      <c r="B119" s="8" t="s">
        <v>142</v>
      </c>
      <c r="C119" s="8" t="s">
        <v>27</v>
      </c>
      <c r="D119" s="8" t="s">
        <v>143</v>
      </c>
      <c r="E119" s="8" t="s">
        <v>36</v>
      </c>
      <c r="F119" s="9">
        <v>17666.666</v>
      </c>
      <c r="G119" s="10"/>
      <c r="H119" s="11">
        <f t="shared" si="3"/>
        <v>0</v>
      </c>
      <c r="I119" s="12">
        <f>16730+14823.2+695+1240+10315.36+85.03+7691.15+1544.77+7101.38+13342.7+23366.75+21149.3+446.25+1000+17615.208+14410+4600+9050+3380+3304.3+3420</f>
        <v>175310.398</v>
      </c>
    </row>
    <row r="120" spans="1:9" s="5" customFormat="1" ht="12.75" customHeight="1">
      <c r="A120" s="8">
        <v>94</v>
      </c>
      <c r="B120" s="15">
        <v>572214</v>
      </c>
      <c r="C120" s="8"/>
      <c r="D120" s="8" t="s">
        <v>383</v>
      </c>
      <c r="E120" s="8" t="s">
        <v>36</v>
      </c>
      <c r="F120" s="9">
        <v>6000</v>
      </c>
      <c r="G120" s="10"/>
      <c r="H120" s="11">
        <f t="shared" si="3"/>
        <v>0</v>
      </c>
      <c r="I120" s="12">
        <f>8226.44+239.82+8532.03+1470.76+5970.5+9359.88+23696.7+21854.245+18111.88+13750+10685+3065+867.54+66473.94</f>
        <v>192303.735</v>
      </c>
    </row>
    <row r="121" spans="1:9" s="5" customFormat="1" ht="12.75" customHeight="1">
      <c r="A121" s="8">
        <v>95</v>
      </c>
      <c r="B121" s="8" t="s">
        <v>144</v>
      </c>
      <c r="C121" s="8" t="s">
        <v>27</v>
      </c>
      <c r="D121" s="8" t="s">
        <v>145</v>
      </c>
      <c r="E121" s="8" t="s">
        <v>36</v>
      </c>
      <c r="F121" s="9">
        <v>453.333</v>
      </c>
      <c r="G121" s="10"/>
      <c r="H121" s="11">
        <f t="shared" si="3"/>
        <v>0</v>
      </c>
      <c r="I121" s="12">
        <f>23.54+3065</f>
        <v>3088.54</v>
      </c>
    </row>
    <row r="122" spans="1:9" s="5" customFormat="1" ht="12.75" customHeight="1">
      <c r="A122" s="8">
        <v>96</v>
      </c>
      <c r="B122" s="8" t="s">
        <v>146</v>
      </c>
      <c r="C122" s="8" t="s">
        <v>27</v>
      </c>
      <c r="D122" s="8" t="s">
        <v>147</v>
      </c>
      <c r="E122" s="8" t="s">
        <v>29</v>
      </c>
      <c r="F122" s="9">
        <v>33.333</v>
      </c>
      <c r="G122" s="10"/>
      <c r="H122" s="11">
        <f t="shared" si="3"/>
        <v>0</v>
      </c>
      <c r="I122" s="12">
        <f>206+110.99+95.6+438.22+6.33+124+115+18.9</f>
        <v>1115.0400000000002</v>
      </c>
    </row>
    <row r="123" spans="1:9" s="5" customFormat="1" ht="12.75" customHeight="1">
      <c r="A123" s="8">
        <v>97</v>
      </c>
      <c r="B123" s="8" t="s">
        <v>148</v>
      </c>
      <c r="C123" s="8" t="s">
        <v>27</v>
      </c>
      <c r="D123" s="8" t="s">
        <v>149</v>
      </c>
      <c r="E123" s="8" t="s">
        <v>29</v>
      </c>
      <c r="F123" s="9">
        <v>60</v>
      </c>
      <c r="G123" s="10"/>
      <c r="H123" s="11">
        <f t="shared" si="3"/>
        <v>0</v>
      </c>
      <c r="I123" s="12">
        <f>350.61+40+330.99+452.5+87+171</f>
        <v>1432.1</v>
      </c>
    </row>
    <row r="124" spans="1:9" s="5" customFormat="1" ht="12.75" customHeight="1">
      <c r="A124" s="8">
        <v>98</v>
      </c>
      <c r="B124" s="8" t="s">
        <v>150</v>
      </c>
      <c r="C124" s="8" t="s">
        <v>27</v>
      </c>
      <c r="D124" s="8" t="s">
        <v>151</v>
      </c>
      <c r="E124" s="8" t="s">
        <v>29</v>
      </c>
      <c r="F124" s="9">
        <v>268</v>
      </c>
      <c r="G124" s="10"/>
      <c r="H124" s="11">
        <f t="shared" si="3"/>
        <v>0</v>
      </c>
      <c r="I124" s="12">
        <f>341.2+43.84+5.27+533.71+496.7+14.86+563.2+17.22+39+128.26</f>
        <v>2183.26</v>
      </c>
    </row>
    <row r="125" spans="1:9" s="5" customFormat="1" ht="12.75" customHeight="1">
      <c r="A125" s="8">
        <v>99</v>
      </c>
      <c r="B125" s="8" t="s">
        <v>152</v>
      </c>
      <c r="C125" s="8" t="s">
        <v>27</v>
      </c>
      <c r="D125" s="8" t="s">
        <v>153</v>
      </c>
      <c r="E125" s="8" t="s">
        <v>29</v>
      </c>
      <c r="F125" s="9">
        <v>1</v>
      </c>
      <c r="G125" s="10"/>
      <c r="H125" s="11">
        <f t="shared" si="3"/>
        <v>0</v>
      </c>
      <c r="I125" s="12"/>
    </row>
    <row r="126" spans="1:9" s="5" customFormat="1" ht="12.75" customHeight="1">
      <c r="A126" s="8">
        <v>100</v>
      </c>
      <c r="B126" s="8" t="s">
        <v>154</v>
      </c>
      <c r="C126" s="8" t="s">
        <v>27</v>
      </c>
      <c r="D126" s="8" t="s">
        <v>155</v>
      </c>
      <c r="E126" s="8" t="s">
        <v>29</v>
      </c>
      <c r="F126" s="9">
        <v>1.4</v>
      </c>
      <c r="G126" s="10"/>
      <c r="H126" s="11">
        <f t="shared" si="3"/>
        <v>0</v>
      </c>
      <c r="I126" s="12">
        <f>13.704</f>
        <v>13.704</v>
      </c>
    </row>
    <row r="127" spans="1:9" s="5" customFormat="1" ht="12.75" customHeight="1">
      <c r="A127" s="8">
        <v>101</v>
      </c>
      <c r="B127" s="8" t="s">
        <v>156</v>
      </c>
      <c r="C127" s="8" t="s">
        <v>27</v>
      </c>
      <c r="D127" s="8" t="s">
        <v>157</v>
      </c>
      <c r="E127" s="8" t="s">
        <v>29</v>
      </c>
      <c r="F127" s="9">
        <v>813.333</v>
      </c>
      <c r="G127" s="10"/>
      <c r="H127" s="11">
        <f t="shared" si="3"/>
        <v>0</v>
      </c>
      <c r="I127" s="12">
        <f>421+737.75+153.6+268.8+63.56+238.48+569.19+640.78+119.208+613.31+8.93+317.97+704+639+430.06+992.44+1.17+1.17+1.17+452.5+69.02+87</f>
        <v>7530.108</v>
      </c>
    </row>
    <row r="128" spans="1:9" s="5" customFormat="1" ht="12.75" customHeight="1">
      <c r="A128" s="8">
        <v>102</v>
      </c>
      <c r="B128" s="8" t="s">
        <v>158</v>
      </c>
      <c r="C128" s="8" t="s">
        <v>27</v>
      </c>
      <c r="D128" s="8" t="s">
        <v>381</v>
      </c>
      <c r="E128" s="8" t="s">
        <v>29</v>
      </c>
      <c r="F128" s="9">
        <v>240</v>
      </c>
      <c r="G128" s="10"/>
      <c r="H128" s="11">
        <f t="shared" si="3"/>
        <v>0</v>
      </c>
      <c r="I128" s="12">
        <f>495.31+92.31+592.83+180.64+765+430.18+32.36+963.53</f>
        <v>3552.16</v>
      </c>
    </row>
    <row r="129" spans="1:9" s="5" customFormat="1" ht="12.75" customHeight="1">
      <c r="A129" s="8">
        <v>103</v>
      </c>
      <c r="B129" s="8" t="s">
        <v>159</v>
      </c>
      <c r="C129" s="8" t="s">
        <v>27</v>
      </c>
      <c r="D129" s="8" t="s">
        <v>160</v>
      </c>
      <c r="E129" s="8" t="s">
        <v>29</v>
      </c>
      <c r="F129" s="9">
        <v>3.666</v>
      </c>
      <c r="G129" s="10"/>
      <c r="H129" s="11">
        <f t="shared" si="3"/>
        <v>0</v>
      </c>
      <c r="I129" s="12"/>
    </row>
    <row r="130" spans="1:9" s="5" customFormat="1" ht="12.75" customHeight="1">
      <c r="A130" s="8">
        <v>104</v>
      </c>
      <c r="B130" s="8" t="s">
        <v>161</v>
      </c>
      <c r="C130" s="8" t="s">
        <v>27</v>
      </c>
      <c r="D130" s="8" t="s">
        <v>162</v>
      </c>
      <c r="E130" s="8" t="s">
        <v>29</v>
      </c>
      <c r="F130" s="9">
        <v>188</v>
      </c>
      <c r="G130" s="10"/>
      <c r="H130" s="11">
        <f t="shared" si="3"/>
        <v>0</v>
      </c>
      <c r="I130" s="12">
        <f>601.686+536.851+5.952+2.71+537.32+22.06+231.301+98</f>
        <v>2035.88</v>
      </c>
    </row>
    <row r="131" spans="1:9" s="5" customFormat="1" ht="12.75" customHeight="1">
      <c r="A131" s="8">
        <v>105</v>
      </c>
      <c r="B131" s="8" t="s">
        <v>163</v>
      </c>
      <c r="C131" s="8" t="s">
        <v>27</v>
      </c>
      <c r="D131" s="8" t="s">
        <v>164</v>
      </c>
      <c r="E131" s="8" t="s">
        <v>29</v>
      </c>
      <c r="F131" s="9">
        <v>73.333</v>
      </c>
      <c r="G131" s="10"/>
      <c r="H131" s="11">
        <f t="shared" si="3"/>
        <v>0</v>
      </c>
      <c r="I131" s="12">
        <f>34.56+338.52+396.98+114.8</f>
        <v>884.8599999999999</v>
      </c>
    </row>
    <row r="132" spans="1:9" s="5" customFormat="1" ht="12.75" customHeight="1">
      <c r="A132" s="8">
        <v>106</v>
      </c>
      <c r="B132" s="8" t="s">
        <v>165</v>
      </c>
      <c r="C132" s="8" t="s">
        <v>27</v>
      </c>
      <c r="D132" s="8" t="s">
        <v>384</v>
      </c>
      <c r="E132" s="8" t="s">
        <v>29</v>
      </c>
      <c r="F132" s="9">
        <v>100</v>
      </c>
      <c r="G132" s="10"/>
      <c r="H132" s="11">
        <f t="shared" si="3"/>
        <v>0</v>
      </c>
      <c r="I132" s="12">
        <f>153.6+752.964</f>
        <v>906.5640000000001</v>
      </c>
    </row>
    <row r="133" spans="1:9" s="5" customFormat="1" ht="12.75" customHeight="1">
      <c r="A133" s="8">
        <v>107</v>
      </c>
      <c r="B133" s="8" t="s">
        <v>166</v>
      </c>
      <c r="C133" s="8" t="s">
        <v>27</v>
      </c>
      <c r="D133" s="8" t="s">
        <v>167</v>
      </c>
      <c r="E133" s="8" t="s">
        <v>29</v>
      </c>
      <c r="F133" s="9">
        <v>1.8</v>
      </c>
      <c r="G133" s="10"/>
      <c r="H133" s="11">
        <f t="shared" si="3"/>
        <v>0</v>
      </c>
      <c r="I133" s="12"/>
    </row>
    <row r="134" spans="1:9" s="5" customFormat="1" ht="12.75" customHeight="1">
      <c r="A134" s="8">
        <v>108</v>
      </c>
      <c r="B134" s="15">
        <v>58221</v>
      </c>
      <c r="C134" s="8"/>
      <c r="D134" s="13" t="s">
        <v>452</v>
      </c>
      <c r="E134" s="13" t="s">
        <v>385</v>
      </c>
      <c r="F134" s="9">
        <v>8</v>
      </c>
      <c r="G134" s="10"/>
      <c r="H134" s="11">
        <f t="shared" si="3"/>
        <v>0</v>
      </c>
      <c r="I134" s="12">
        <f>41.35</f>
        <v>41.35</v>
      </c>
    </row>
    <row r="135" spans="1:9" s="5" customFormat="1" ht="12.75" customHeight="1">
      <c r="A135" s="8">
        <v>109</v>
      </c>
      <c r="B135" s="15">
        <v>58222</v>
      </c>
      <c r="C135" s="8"/>
      <c r="D135" s="17" t="s">
        <v>492</v>
      </c>
      <c r="E135" s="17" t="s">
        <v>385</v>
      </c>
      <c r="F135" s="9">
        <v>11.333</v>
      </c>
      <c r="G135" s="10"/>
      <c r="H135" s="11">
        <f t="shared" si="3"/>
        <v>0</v>
      </c>
      <c r="I135" s="12">
        <f>43.8+8.5+12.6+23.4</f>
        <v>88.29999999999998</v>
      </c>
    </row>
    <row r="136" spans="1:9" s="5" customFormat="1" ht="12.75" customHeight="1">
      <c r="A136" s="8">
        <v>110</v>
      </c>
      <c r="B136" s="15">
        <v>582611</v>
      </c>
      <c r="C136" s="8"/>
      <c r="D136" s="13" t="s">
        <v>455</v>
      </c>
      <c r="E136" s="13" t="s">
        <v>385</v>
      </c>
      <c r="F136" s="9">
        <v>50</v>
      </c>
      <c r="G136" s="10"/>
      <c r="H136" s="11">
        <f t="shared" si="3"/>
        <v>0</v>
      </c>
      <c r="I136" s="12">
        <f>38+20+101+263+2</f>
        <v>424</v>
      </c>
    </row>
    <row r="137" spans="1:9" s="5" customFormat="1" ht="12.75" customHeight="1">
      <c r="A137" s="8">
        <v>111</v>
      </c>
      <c r="B137" s="15">
        <v>582612</v>
      </c>
      <c r="C137" s="8"/>
      <c r="D137" s="13" t="s">
        <v>456</v>
      </c>
      <c r="E137" s="13" t="s">
        <v>385</v>
      </c>
      <c r="F137" s="9">
        <v>9.333</v>
      </c>
      <c r="G137" s="10"/>
      <c r="H137" s="11">
        <f t="shared" si="3"/>
        <v>0</v>
      </c>
      <c r="I137" s="12">
        <f>32.2+35</f>
        <v>67.2</v>
      </c>
    </row>
    <row r="138" spans="1:9" s="5" customFormat="1" ht="12.75" customHeight="1">
      <c r="A138" s="8">
        <v>112</v>
      </c>
      <c r="B138" s="15">
        <v>582614</v>
      </c>
      <c r="C138" s="8"/>
      <c r="D138" s="13" t="s">
        <v>457</v>
      </c>
      <c r="E138" s="13" t="s">
        <v>385</v>
      </c>
      <c r="F138" s="9">
        <v>3.666</v>
      </c>
      <c r="G138" s="10"/>
      <c r="H138" s="11">
        <f t="shared" si="3"/>
        <v>0</v>
      </c>
      <c r="I138" s="12">
        <f>6+3.4+10.63</f>
        <v>20.03</v>
      </c>
    </row>
    <row r="139" spans="1:9" s="5" customFormat="1" ht="12.75" customHeight="1">
      <c r="A139" s="8">
        <v>113</v>
      </c>
      <c r="B139" s="15">
        <v>582615</v>
      </c>
      <c r="C139" s="8"/>
      <c r="D139" s="13" t="s">
        <v>458</v>
      </c>
      <c r="E139" s="13" t="s">
        <v>385</v>
      </c>
      <c r="F139" s="9">
        <v>2</v>
      </c>
      <c r="G139" s="10"/>
      <c r="H139" s="11">
        <f t="shared" si="3"/>
        <v>0</v>
      </c>
      <c r="I139" s="12">
        <f>9.3</f>
        <v>9.3</v>
      </c>
    </row>
    <row r="140" spans="1:9" s="5" customFormat="1" ht="12.75" customHeight="1">
      <c r="A140" s="8">
        <v>114</v>
      </c>
      <c r="B140" s="15">
        <v>587202</v>
      </c>
      <c r="C140" s="8" t="s">
        <v>27</v>
      </c>
      <c r="D140" s="13" t="s">
        <v>454</v>
      </c>
      <c r="E140" s="13" t="s">
        <v>385</v>
      </c>
      <c r="F140" s="9">
        <v>14.666</v>
      </c>
      <c r="G140" s="10"/>
      <c r="H140" s="11">
        <f>ROUND((G140*F140),2)</f>
        <v>0</v>
      </c>
      <c r="I140" s="12">
        <f>9.5+36.1+5+19.04+1.2</f>
        <v>70.84</v>
      </c>
    </row>
    <row r="141" spans="1:9" s="5" customFormat="1" ht="12.75" customHeight="1">
      <c r="A141" s="8">
        <v>115</v>
      </c>
      <c r="B141" s="15">
        <v>587205</v>
      </c>
      <c r="C141" s="8"/>
      <c r="D141" s="17" t="s">
        <v>497</v>
      </c>
      <c r="E141" s="13" t="s">
        <v>385</v>
      </c>
      <c r="F141" s="9">
        <v>62</v>
      </c>
      <c r="G141" s="10"/>
      <c r="H141" s="11">
        <f t="shared" si="3"/>
        <v>0</v>
      </c>
      <c r="I141" s="12">
        <f>12+39+6+128.93+165.5+18</f>
        <v>369.43</v>
      </c>
    </row>
    <row r="142" spans="1:9" s="5" customFormat="1" ht="12.75" customHeight="1">
      <c r="A142" s="8">
        <v>116</v>
      </c>
      <c r="B142" s="15">
        <v>58252</v>
      </c>
      <c r="C142" s="8"/>
      <c r="D142" s="13" t="s">
        <v>459</v>
      </c>
      <c r="E142" s="13" t="s">
        <v>385</v>
      </c>
      <c r="F142" s="9">
        <v>110</v>
      </c>
      <c r="G142" s="10"/>
      <c r="H142" s="11">
        <f t="shared" si="3"/>
        <v>0</v>
      </c>
      <c r="I142" s="12">
        <f>80.86+1.575+22.5+519.86+187.5+115</f>
        <v>927.2950000000001</v>
      </c>
    </row>
    <row r="143" spans="1:15" s="5" customFormat="1" ht="12.75" customHeight="1">
      <c r="A143" s="14"/>
      <c r="B143" s="14"/>
      <c r="C143" s="14" t="s">
        <v>20</v>
      </c>
      <c r="D143" s="14" t="s">
        <v>131</v>
      </c>
      <c r="E143" s="14"/>
      <c r="F143" s="14"/>
      <c r="G143" s="14"/>
      <c r="H143" s="14">
        <f>SUM(H108:H142)</f>
        <v>0</v>
      </c>
      <c r="I143" s="16"/>
      <c r="O143" s="5">
        <f>ROUND(SUM(O108:O133),2)</f>
        <v>0</v>
      </c>
    </row>
    <row r="144" s="5" customFormat="1" ht="12.75" customHeight="1">
      <c r="I144" s="16"/>
    </row>
    <row r="145" spans="1:9" s="5" customFormat="1" ht="12.75" customHeight="1">
      <c r="A145" s="6"/>
      <c r="B145" s="6"/>
      <c r="C145" s="6" t="s">
        <v>21</v>
      </c>
      <c r="D145" s="6" t="s">
        <v>168</v>
      </c>
      <c r="E145" s="6"/>
      <c r="F145" s="7"/>
      <c r="G145" s="6"/>
      <c r="H145" s="7"/>
      <c r="I145" s="16"/>
    </row>
    <row r="146" spans="1:9" s="5" customFormat="1" ht="12.75" customHeight="1">
      <c r="A146" s="8">
        <v>117</v>
      </c>
      <c r="B146" s="8" t="s">
        <v>169</v>
      </c>
      <c r="C146" s="8" t="s">
        <v>27</v>
      </c>
      <c r="D146" s="8" t="s">
        <v>429</v>
      </c>
      <c r="E146" s="8" t="s">
        <v>36</v>
      </c>
      <c r="F146" s="9">
        <v>2</v>
      </c>
      <c r="G146" s="10"/>
      <c r="H146" s="11">
        <f aca="true" t="shared" si="4" ref="H146:H156">ROUND((G146*F146),2)</f>
        <v>0</v>
      </c>
      <c r="I146" s="12"/>
    </row>
    <row r="147" spans="1:9" s="5" customFormat="1" ht="12.75" customHeight="1">
      <c r="A147" s="8">
        <v>118</v>
      </c>
      <c r="B147" s="8" t="s">
        <v>170</v>
      </c>
      <c r="C147" s="8" t="s">
        <v>27</v>
      </c>
      <c r="D147" s="8" t="s">
        <v>428</v>
      </c>
      <c r="E147" s="8" t="s">
        <v>36</v>
      </c>
      <c r="F147" s="9">
        <v>2.666</v>
      </c>
      <c r="G147" s="10"/>
      <c r="H147" s="11">
        <f t="shared" si="4"/>
        <v>0</v>
      </c>
      <c r="I147" s="12">
        <f>10.5</f>
        <v>10.5</v>
      </c>
    </row>
    <row r="148" spans="1:9" s="5" customFormat="1" ht="12.75" customHeight="1">
      <c r="A148" s="8">
        <v>119</v>
      </c>
      <c r="B148" s="8" t="s">
        <v>171</v>
      </c>
      <c r="C148" s="8" t="s">
        <v>27</v>
      </c>
      <c r="D148" s="8" t="s">
        <v>427</v>
      </c>
      <c r="E148" s="8" t="s">
        <v>36</v>
      </c>
      <c r="F148" s="9">
        <v>3.666</v>
      </c>
      <c r="G148" s="10"/>
      <c r="H148" s="11">
        <f t="shared" si="4"/>
        <v>0</v>
      </c>
      <c r="I148" s="12">
        <f>17</f>
        <v>17</v>
      </c>
    </row>
    <row r="149" spans="1:9" s="5" customFormat="1" ht="12.75" customHeight="1">
      <c r="A149" s="8">
        <v>120</v>
      </c>
      <c r="B149" s="8" t="s">
        <v>172</v>
      </c>
      <c r="C149" s="8" t="s">
        <v>27</v>
      </c>
      <c r="D149" s="8" t="s">
        <v>426</v>
      </c>
      <c r="E149" s="8" t="s">
        <v>36</v>
      </c>
      <c r="F149" s="9">
        <v>3.666</v>
      </c>
      <c r="G149" s="10"/>
      <c r="H149" s="11">
        <f t="shared" si="4"/>
        <v>0</v>
      </c>
      <c r="I149" s="12">
        <f>17</f>
        <v>17</v>
      </c>
    </row>
    <row r="150" spans="1:9" s="5" customFormat="1" ht="12.75" customHeight="1">
      <c r="A150" s="8">
        <v>121</v>
      </c>
      <c r="B150" s="8" t="s">
        <v>173</v>
      </c>
      <c r="C150" s="8" t="s">
        <v>27</v>
      </c>
      <c r="D150" s="8" t="s">
        <v>425</v>
      </c>
      <c r="E150" s="8" t="s">
        <v>36</v>
      </c>
      <c r="F150" s="9">
        <v>2.333</v>
      </c>
      <c r="G150" s="10"/>
      <c r="H150" s="11">
        <f t="shared" si="4"/>
        <v>0</v>
      </c>
      <c r="I150" s="12"/>
    </row>
    <row r="151" spans="1:9" s="5" customFormat="1" ht="12.75" customHeight="1">
      <c r="A151" s="8">
        <v>122</v>
      </c>
      <c r="B151" s="8" t="s">
        <v>174</v>
      </c>
      <c r="C151" s="8" t="s">
        <v>27</v>
      </c>
      <c r="D151" s="8" t="s">
        <v>424</v>
      </c>
      <c r="E151" s="8" t="s">
        <v>36</v>
      </c>
      <c r="F151" s="9">
        <v>3</v>
      </c>
      <c r="G151" s="10"/>
      <c r="H151" s="11">
        <f t="shared" si="4"/>
        <v>0</v>
      </c>
      <c r="I151" s="12"/>
    </row>
    <row r="152" spans="1:9" s="5" customFormat="1" ht="12.75" customHeight="1">
      <c r="A152" s="8">
        <v>123</v>
      </c>
      <c r="B152" s="8" t="s">
        <v>175</v>
      </c>
      <c r="C152" s="8" t="s">
        <v>27</v>
      </c>
      <c r="D152" s="8" t="s">
        <v>423</v>
      </c>
      <c r="E152" s="8" t="s">
        <v>88</v>
      </c>
      <c r="F152" s="9">
        <v>5</v>
      </c>
      <c r="G152" s="10"/>
      <c r="H152" s="11">
        <f t="shared" si="4"/>
        <v>0</v>
      </c>
      <c r="I152" s="12"/>
    </row>
    <row r="153" spans="1:9" s="5" customFormat="1" ht="12.75" customHeight="1">
      <c r="A153" s="8">
        <v>124</v>
      </c>
      <c r="B153" s="8" t="s">
        <v>176</v>
      </c>
      <c r="C153" s="8" t="s">
        <v>27</v>
      </c>
      <c r="D153" s="8" t="s">
        <v>422</v>
      </c>
      <c r="E153" s="8" t="s">
        <v>88</v>
      </c>
      <c r="F153" s="9">
        <v>3</v>
      </c>
      <c r="G153" s="10"/>
      <c r="H153" s="11">
        <f t="shared" si="4"/>
        <v>0</v>
      </c>
      <c r="I153" s="12"/>
    </row>
    <row r="154" spans="1:9" s="5" customFormat="1" ht="12.75" customHeight="1">
      <c r="A154" s="8">
        <v>125</v>
      </c>
      <c r="B154" s="8" t="s">
        <v>177</v>
      </c>
      <c r="C154" s="8" t="s">
        <v>27</v>
      </c>
      <c r="D154" s="8" t="s">
        <v>421</v>
      </c>
      <c r="E154" s="8" t="s">
        <v>36</v>
      </c>
      <c r="F154" s="9">
        <v>2.333</v>
      </c>
      <c r="G154" s="10"/>
      <c r="H154" s="11">
        <f t="shared" si="4"/>
        <v>0</v>
      </c>
      <c r="I154" s="12"/>
    </row>
    <row r="155" spans="1:9" s="5" customFormat="1" ht="12.75" customHeight="1">
      <c r="A155" s="8">
        <v>126</v>
      </c>
      <c r="B155" s="8" t="s">
        <v>178</v>
      </c>
      <c r="C155" s="8" t="s">
        <v>27</v>
      </c>
      <c r="D155" s="8" t="s">
        <v>420</v>
      </c>
      <c r="E155" s="8" t="s">
        <v>36</v>
      </c>
      <c r="F155" s="9">
        <v>27</v>
      </c>
      <c r="G155" s="10"/>
      <c r="H155" s="11">
        <f t="shared" si="4"/>
        <v>0</v>
      </c>
      <c r="I155" s="12">
        <f>12+68+102</f>
        <v>182</v>
      </c>
    </row>
    <row r="156" spans="1:9" s="5" customFormat="1" ht="12.75" customHeight="1">
      <c r="A156" s="8">
        <v>127</v>
      </c>
      <c r="B156" s="8" t="s">
        <v>179</v>
      </c>
      <c r="C156" s="8" t="s">
        <v>27</v>
      </c>
      <c r="D156" s="8" t="s">
        <v>419</v>
      </c>
      <c r="E156" s="8" t="s">
        <v>36</v>
      </c>
      <c r="F156" s="9">
        <v>3.666</v>
      </c>
      <c r="G156" s="10"/>
      <c r="H156" s="11">
        <f t="shared" si="4"/>
        <v>0</v>
      </c>
      <c r="I156" s="12">
        <f>17</f>
        <v>17</v>
      </c>
    </row>
    <row r="157" spans="1:15" s="5" customFormat="1" ht="12.75" customHeight="1">
      <c r="A157" s="14"/>
      <c r="B157" s="14"/>
      <c r="C157" s="14" t="s">
        <v>21</v>
      </c>
      <c r="D157" s="14" t="s">
        <v>168</v>
      </c>
      <c r="E157" s="14"/>
      <c r="F157" s="14"/>
      <c r="G157" s="14"/>
      <c r="H157" s="14">
        <f>SUM(H146:H156)</f>
        <v>0</v>
      </c>
      <c r="I157" s="16"/>
      <c r="O157" s="5">
        <f>ROUND(SUM(O146:O156),2)</f>
        <v>0</v>
      </c>
    </row>
    <row r="158" s="5" customFormat="1" ht="12.75" customHeight="1">
      <c r="I158" s="16"/>
    </row>
    <row r="159" spans="1:9" s="5" customFormat="1" ht="12.75" customHeight="1">
      <c r="A159" s="6"/>
      <c r="B159" s="6"/>
      <c r="C159" s="6" t="s">
        <v>181</v>
      </c>
      <c r="D159" s="6" t="s">
        <v>180</v>
      </c>
      <c r="E159" s="6"/>
      <c r="F159" s="7"/>
      <c r="G159" s="6"/>
      <c r="H159" s="6"/>
      <c r="I159" s="16"/>
    </row>
    <row r="160" spans="1:9" s="5" customFormat="1" ht="12.75" customHeight="1">
      <c r="A160" s="8">
        <v>128</v>
      </c>
      <c r="B160" s="8" t="s">
        <v>182</v>
      </c>
      <c r="C160" s="8" t="s">
        <v>27</v>
      </c>
      <c r="D160" s="8" t="s">
        <v>418</v>
      </c>
      <c r="E160" s="8" t="s">
        <v>36</v>
      </c>
      <c r="F160" s="9">
        <v>17.666</v>
      </c>
      <c r="G160" s="10"/>
      <c r="H160" s="11">
        <f aca="true" t="shared" si="5" ref="H160:H165">ROUND((G160*F160),2)</f>
        <v>0</v>
      </c>
      <c r="I160" s="12">
        <f>52.5+12.6+60</f>
        <v>125.1</v>
      </c>
    </row>
    <row r="161" spans="1:9" s="5" customFormat="1" ht="12.75" customHeight="1">
      <c r="A161" s="8">
        <v>129</v>
      </c>
      <c r="B161" s="15">
        <v>711112</v>
      </c>
      <c r="C161" s="8"/>
      <c r="D161" s="8" t="s">
        <v>501</v>
      </c>
      <c r="E161" s="8" t="s">
        <v>36</v>
      </c>
      <c r="F161" s="9">
        <v>163.333</v>
      </c>
      <c r="G161" s="10"/>
      <c r="H161" s="11">
        <f t="shared" si="5"/>
        <v>0</v>
      </c>
      <c r="I161" s="12">
        <f>1881.2</f>
        <v>1881.2</v>
      </c>
    </row>
    <row r="162" spans="1:9" s="5" customFormat="1" ht="12.75" customHeight="1">
      <c r="A162" s="8">
        <v>130</v>
      </c>
      <c r="B162" s="8" t="s">
        <v>183</v>
      </c>
      <c r="C162" s="8" t="s">
        <v>27</v>
      </c>
      <c r="D162" s="8" t="s">
        <v>417</v>
      </c>
      <c r="E162" s="8" t="s">
        <v>36</v>
      </c>
      <c r="F162" s="9">
        <v>6.8</v>
      </c>
      <c r="G162" s="10"/>
      <c r="H162" s="11">
        <f t="shared" si="5"/>
        <v>0</v>
      </c>
      <c r="I162" s="12">
        <f>48.22</f>
        <v>48.22</v>
      </c>
    </row>
    <row r="163" spans="1:9" s="5" customFormat="1" ht="12.75" customHeight="1">
      <c r="A163" s="8">
        <v>131</v>
      </c>
      <c r="B163" s="8" t="s">
        <v>184</v>
      </c>
      <c r="C163" s="8" t="s">
        <v>27</v>
      </c>
      <c r="D163" s="8" t="s">
        <v>416</v>
      </c>
      <c r="E163" s="8" t="s">
        <v>36</v>
      </c>
      <c r="F163" s="9">
        <v>10.666</v>
      </c>
      <c r="G163" s="10"/>
      <c r="H163" s="11">
        <f t="shared" si="5"/>
        <v>0</v>
      </c>
      <c r="I163" s="12">
        <f>78.165</f>
        <v>78.165</v>
      </c>
    </row>
    <row r="164" spans="1:9" s="5" customFormat="1" ht="12.75" customHeight="1">
      <c r="A164" s="8">
        <v>132</v>
      </c>
      <c r="B164" s="8" t="s">
        <v>185</v>
      </c>
      <c r="C164" s="8" t="s">
        <v>27</v>
      </c>
      <c r="D164" s="8" t="s">
        <v>415</v>
      </c>
      <c r="E164" s="8" t="s">
        <v>36</v>
      </c>
      <c r="F164" s="9">
        <v>217.333</v>
      </c>
      <c r="G164" s="10"/>
      <c r="H164" s="11">
        <f t="shared" si="5"/>
        <v>0</v>
      </c>
      <c r="I164" s="12">
        <f>170.02+2054.1</f>
        <v>2224.12</v>
      </c>
    </row>
    <row r="165" spans="1:9" s="5" customFormat="1" ht="12.75" customHeight="1">
      <c r="A165" s="8">
        <v>133</v>
      </c>
      <c r="B165" s="8" t="s">
        <v>186</v>
      </c>
      <c r="C165" s="8" t="s">
        <v>27</v>
      </c>
      <c r="D165" s="8" t="s">
        <v>414</v>
      </c>
      <c r="E165" s="8" t="s">
        <v>36</v>
      </c>
      <c r="F165" s="9">
        <v>2.333</v>
      </c>
      <c r="G165" s="10"/>
      <c r="H165" s="11">
        <f t="shared" si="5"/>
        <v>0</v>
      </c>
      <c r="I165" s="12"/>
    </row>
    <row r="166" spans="1:15" s="5" customFormat="1" ht="12.75" customHeight="1">
      <c r="A166" s="14"/>
      <c r="B166" s="14"/>
      <c r="C166" s="14" t="s">
        <v>181</v>
      </c>
      <c r="D166" s="14" t="s">
        <v>180</v>
      </c>
      <c r="E166" s="14"/>
      <c r="F166" s="14"/>
      <c r="G166" s="14"/>
      <c r="H166" s="14">
        <f>SUM(H160:H165)</f>
        <v>0</v>
      </c>
      <c r="I166" s="16"/>
      <c r="O166" s="5">
        <f>ROUND(SUM(O160:O165),2)</f>
        <v>0</v>
      </c>
    </row>
    <row r="167" s="5" customFormat="1" ht="12.75" customHeight="1">
      <c r="I167" s="16"/>
    </row>
    <row r="168" spans="1:9" s="5" customFormat="1" ht="12.75" customHeight="1">
      <c r="A168" s="6"/>
      <c r="B168" s="6"/>
      <c r="C168" s="6" t="s">
        <v>188</v>
      </c>
      <c r="D168" s="6" t="s">
        <v>187</v>
      </c>
      <c r="E168" s="6"/>
      <c r="F168" s="7"/>
      <c r="G168" s="6"/>
      <c r="H168" s="6"/>
      <c r="I168" s="16"/>
    </row>
    <row r="169" spans="1:9" s="5" customFormat="1" ht="12.75" customHeight="1">
      <c r="A169" s="8">
        <v>134</v>
      </c>
      <c r="B169" s="8" t="s">
        <v>189</v>
      </c>
      <c r="C169" s="8" t="s">
        <v>27</v>
      </c>
      <c r="D169" s="8" t="s">
        <v>413</v>
      </c>
      <c r="E169" s="8" t="s">
        <v>36</v>
      </c>
      <c r="F169" s="9">
        <v>90</v>
      </c>
      <c r="G169" s="10"/>
      <c r="H169" s="11">
        <f>ROUND((G169*F169),2)</f>
        <v>0</v>
      </c>
      <c r="I169" s="12">
        <f>12+1.05+633.56</f>
        <v>646.6099999999999</v>
      </c>
    </row>
    <row r="170" spans="1:9" s="5" customFormat="1" ht="12.75" customHeight="1">
      <c r="A170" s="8">
        <v>135</v>
      </c>
      <c r="B170" s="15">
        <v>78382</v>
      </c>
      <c r="C170" s="8"/>
      <c r="D170" s="17" t="s">
        <v>482</v>
      </c>
      <c r="E170" s="17" t="s">
        <v>36</v>
      </c>
      <c r="F170" s="9">
        <v>9.666</v>
      </c>
      <c r="G170" s="10"/>
      <c r="H170" s="11">
        <f>ROUND((G170*F170),2)</f>
        <v>0</v>
      </c>
      <c r="I170" s="12">
        <f>15.843+4.92+84.4</f>
        <v>105.16300000000001</v>
      </c>
    </row>
    <row r="171" spans="1:9" s="5" customFormat="1" ht="12.75" customHeight="1">
      <c r="A171" s="8">
        <v>136</v>
      </c>
      <c r="B171" s="8" t="s">
        <v>190</v>
      </c>
      <c r="C171" s="8" t="s">
        <v>27</v>
      </c>
      <c r="D171" s="8" t="s">
        <v>412</v>
      </c>
      <c r="E171" s="8" t="s">
        <v>36</v>
      </c>
      <c r="F171" s="9">
        <v>3.333</v>
      </c>
      <c r="G171" s="10"/>
      <c r="H171" s="11">
        <f>ROUND((G171*F171),2)</f>
        <v>0</v>
      </c>
      <c r="I171" s="12">
        <f>7.505+10</f>
        <v>17.505</v>
      </c>
    </row>
    <row r="172" spans="1:9" s="5" customFormat="1" ht="12.75" customHeight="1">
      <c r="A172" s="8">
        <v>137</v>
      </c>
      <c r="B172" s="15">
        <v>78384</v>
      </c>
      <c r="C172" s="8"/>
      <c r="D172" s="17" t="s">
        <v>510</v>
      </c>
      <c r="E172" s="8" t="s">
        <v>36</v>
      </c>
      <c r="F172" s="9">
        <v>7</v>
      </c>
      <c r="G172" s="10"/>
      <c r="H172" s="11">
        <f>ROUND((G172*F172),2)</f>
        <v>0</v>
      </c>
      <c r="I172" s="12">
        <f>126.6</f>
        <v>126.6</v>
      </c>
    </row>
    <row r="173" spans="1:15" s="5" customFormat="1" ht="12.75" customHeight="1">
      <c r="A173" s="14"/>
      <c r="B173" s="14"/>
      <c r="C173" s="14" t="s">
        <v>188</v>
      </c>
      <c r="D173" s="14" t="s">
        <v>187</v>
      </c>
      <c r="E173" s="14"/>
      <c r="F173" s="14"/>
      <c r="G173" s="14"/>
      <c r="H173" s="14">
        <f>SUM(H169:H171)</f>
        <v>0</v>
      </c>
      <c r="I173" s="16"/>
      <c r="O173" s="5">
        <f>ROUND(SUM(O169:O171),2)</f>
        <v>0</v>
      </c>
    </row>
    <row r="174" s="5" customFormat="1" ht="12.75" customHeight="1">
      <c r="I174" s="16"/>
    </row>
    <row r="175" spans="1:9" s="5" customFormat="1" ht="12.75" customHeight="1">
      <c r="A175" s="6"/>
      <c r="B175" s="6"/>
      <c r="C175" s="6" t="s">
        <v>23</v>
      </c>
      <c r="D175" s="6" t="s">
        <v>191</v>
      </c>
      <c r="E175" s="6"/>
      <c r="F175" s="7"/>
      <c r="G175" s="6"/>
      <c r="H175" s="6"/>
      <c r="I175" s="16"/>
    </row>
    <row r="176" spans="1:9" s="5" customFormat="1" ht="12.75" customHeight="1">
      <c r="A176" s="8">
        <v>138</v>
      </c>
      <c r="B176" s="8" t="s">
        <v>192</v>
      </c>
      <c r="C176" s="8" t="s">
        <v>27</v>
      </c>
      <c r="D176" s="8" t="s">
        <v>193</v>
      </c>
      <c r="E176" s="8" t="s">
        <v>88</v>
      </c>
      <c r="F176" s="9">
        <v>53.333</v>
      </c>
      <c r="G176" s="10"/>
      <c r="H176" s="11">
        <f aca="true" t="shared" si="6" ref="H176:H191">ROUND((G176*F176),2)</f>
        <v>0</v>
      </c>
      <c r="I176" s="12">
        <f>84.5+9.34+3+14.8+16.3+8+25.5+133+413</f>
        <v>707.44</v>
      </c>
    </row>
    <row r="177" spans="1:9" s="5" customFormat="1" ht="12.75" customHeight="1">
      <c r="A177" s="8">
        <v>139</v>
      </c>
      <c r="B177" s="15">
        <v>87445</v>
      </c>
      <c r="C177" s="8"/>
      <c r="D177" s="8" t="s">
        <v>464</v>
      </c>
      <c r="E177" s="8" t="s">
        <v>468</v>
      </c>
      <c r="F177" s="9">
        <v>13.333</v>
      </c>
      <c r="G177" s="10"/>
      <c r="H177" s="11">
        <f t="shared" si="6"/>
        <v>0</v>
      </c>
      <c r="I177" s="12">
        <f>9+78.5</f>
        <v>87.5</v>
      </c>
    </row>
    <row r="178" spans="1:9" s="5" customFormat="1" ht="12.75" customHeight="1">
      <c r="A178" s="8">
        <v>140</v>
      </c>
      <c r="B178" s="15">
        <v>87446</v>
      </c>
      <c r="C178" s="8"/>
      <c r="D178" s="8" t="s">
        <v>465</v>
      </c>
      <c r="E178" s="8" t="s">
        <v>468</v>
      </c>
      <c r="F178" s="9">
        <v>8.666</v>
      </c>
      <c r="G178" s="10"/>
      <c r="H178" s="11">
        <f t="shared" si="6"/>
        <v>0</v>
      </c>
      <c r="I178" s="12">
        <f>74</f>
        <v>74</v>
      </c>
    </row>
    <row r="179" spans="1:9" s="5" customFormat="1" ht="12.75" customHeight="1">
      <c r="A179" s="8">
        <v>141</v>
      </c>
      <c r="B179" s="15">
        <v>87457</v>
      </c>
      <c r="C179" s="8"/>
      <c r="D179" s="8" t="s">
        <v>466</v>
      </c>
      <c r="E179" s="8" t="s">
        <v>468</v>
      </c>
      <c r="F179" s="9">
        <v>12.666</v>
      </c>
      <c r="G179" s="10"/>
      <c r="H179" s="11">
        <f t="shared" si="6"/>
        <v>0</v>
      </c>
      <c r="I179" s="12">
        <f>184</f>
        <v>184</v>
      </c>
    </row>
    <row r="180" spans="1:9" s="5" customFormat="1" ht="12.75" customHeight="1">
      <c r="A180" s="8">
        <v>142</v>
      </c>
      <c r="B180" s="15">
        <v>87458</v>
      </c>
      <c r="C180" s="8"/>
      <c r="D180" s="8" t="s">
        <v>467</v>
      </c>
      <c r="E180" s="8" t="s">
        <v>468</v>
      </c>
      <c r="F180" s="9">
        <v>1.333</v>
      </c>
      <c r="G180" s="10"/>
      <c r="H180" s="11">
        <f t="shared" si="6"/>
        <v>0</v>
      </c>
      <c r="I180" s="12"/>
    </row>
    <row r="181" spans="1:9" s="5" customFormat="1" ht="12.75" customHeight="1">
      <c r="A181" s="8">
        <v>143</v>
      </c>
      <c r="B181" s="8" t="s">
        <v>194</v>
      </c>
      <c r="C181" s="8" t="s">
        <v>27</v>
      </c>
      <c r="D181" s="8" t="s">
        <v>195</v>
      </c>
      <c r="E181" s="8" t="s">
        <v>63</v>
      </c>
      <c r="F181" s="9">
        <v>5</v>
      </c>
      <c r="G181" s="10"/>
      <c r="H181" s="11">
        <f t="shared" si="6"/>
        <v>0</v>
      </c>
      <c r="I181" s="12">
        <f>31</f>
        <v>31</v>
      </c>
    </row>
    <row r="182" spans="1:9" s="5" customFormat="1" ht="12.75" customHeight="1">
      <c r="A182" s="8">
        <v>144</v>
      </c>
      <c r="B182" s="8" t="s">
        <v>196</v>
      </c>
      <c r="C182" s="8" t="s">
        <v>27</v>
      </c>
      <c r="D182" s="8" t="s">
        <v>197</v>
      </c>
      <c r="E182" s="8" t="s">
        <v>63</v>
      </c>
      <c r="F182" s="9">
        <v>2</v>
      </c>
      <c r="G182" s="10"/>
      <c r="H182" s="11">
        <f t="shared" si="6"/>
        <v>0</v>
      </c>
      <c r="I182" s="12">
        <f>2</f>
        <v>2</v>
      </c>
    </row>
    <row r="183" spans="1:9" s="5" customFormat="1" ht="12.75" customHeight="1">
      <c r="A183" s="8">
        <v>145</v>
      </c>
      <c r="B183" s="8" t="s">
        <v>198</v>
      </c>
      <c r="C183" s="8" t="s">
        <v>27</v>
      </c>
      <c r="D183" s="8" t="s">
        <v>199</v>
      </c>
      <c r="E183" s="8" t="s">
        <v>63</v>
      </c>
      <c r="F183" s="9">
        <v>1</v>
      </c>
      <c r="G183" s="10"/>
      <c r="H183" s="11">
        <f t="shared" si="6"/>
        <v>0</v>
      </c>
      <c r="I183" s="12"/>
    </row>
    <row r="184" spans="1:9" s="5" customFormat="1" ht="12.75" customHeight="1">
      <c r="A184" s="8">
        <v>146</v>
      </c>
      <c r="B184" s="8" t="s">
        <v>200</v>
      </c>
      <c r="C184" s="8" t="s">
        <v>27</v>
      </c>
      <c r="D184" s="8" t="s">
        <v>201</v>
      </c>
      <c r="E184" s="8" t="s">
        <v>63</v>
      </c>
      <c r="F184" s="9">
        <v>1</v>
      </c>
      <c r="G184" s="10"/>
      <c r="H184" s="11">
        <f t="shared" si="6"/>
        <v>0</v>
      </c>
      <c r="I184" s="12"/>
    </row>
    <row r="185" spans="1:9" s="5" customFormat="1" ht="12.75" customHeight="1">
      <c r="A185" s="8">
        <v>147</v>
      </c>
      <c r="B185" s="8" t="s">
        <v>202</v>
      </c>
      <c r="C185" s="8" t="s">
        <v>27</v>
      </c>
      <c r="D185" s="8" t="s">
        <v>203</v>
      </c>
      <c r="E185" s="8" t="s">
        <v>63</v>
      </c>
      <c r="F185" s="9">
        <v>1</v>
      </c>
      <c r="G185" s="10"/>
      <c r="H185" s="11">
        <f t="shared" si="6"/>
        <v>0</v>
      </c>
      <c r="I185" s="12">
        <f>4</f>
        <v>4</v>
      </c>
    </row>
    <row r="186" spans="1:9" s="5" customFormat="1" ht="12.75" customHeight="1">
      <c r="A186" s="8">
        <v>148</v>
      </c>
      <c r="B186" s="8" t="s">
        <v>204</v>
      </c>
      <c r="C186" s="8" t="s">
        <v>27</v>
      </c>
      <c r="D186" s="8" t="s">
        <v>205</v>
      </c>
      <c r="E186" s="8" t="s">
        <v>63</v>
      </c>
      <c r="F186" s="9">
        <v>9</v>
      </c>
      <c r="G186" s="10"/>
      <c r="H186" s="11">
        <f t="shared" si="6"/>
        <v>0</v>
      </c>
      <c r="I186" s="12">
        <f>6+10+1+3+2+4+38+1+9+15+6+22</f>
        <v>117</v>
      </c>
    </row>
    <row r="187" spans="1:9" s="5" customFormat="1" ht="12.75" customHeight="1">
      <c r="A187" s="8">
        <v>149</v>
      </c>
      <c r="B187" s="8" t="s">
        <v>206</v>
      </c>
      <c r="C187" s="8" t="s">
        <v>27</v>
      </c>
      <c r="D187" s="8" t="s">
        <v>207</v>
      </c>
      <c r="E187" s="8" t="s">
        <v>63</v>
      </c>
      <c r="F187" s="9">
        <v>2</v>
      </c>
      <c r="G187" s="10"/>
      <c r="H187" s="11">
        <f t="shared" si="6"/>
        <v>0</v>
      </c>
      <c r="I187" s="12">
        <f>1+10+1</f>
        <v>12</v>
      </c>
    </row>
    <row r="188" spans="1:9" s="5" customFormat="1" ht="12.75" customHeight="1">
      <c r="A188" s="8">
        <v>150</v>
      </c>
      <c r="B188" s="8" t="s">
        <v>208</v>
      </c>
      <c r="C188" s="8" t="s">
        <v>27</v>
      </c>
      <c r="D188" s="8" t="s">
        <v>209</v>
      </c>
      <c r="E188" s="8" t="s">
        <v>63</v>
      </c>
      <c r="F188" s="9">
        <v>13</v>
      </c>
      <c r="G188" s="10"/>
      <c r="H188" s="11">
        <f t="shared" si="6"/>
        <v>0</v>
      </c>
      <c r="I188" s="12">
        <f>37+6+15+1+4+10+5+6</f>
        <v>84</v>
      </c>
    </row>
    <row r="189" spans="1:9" s="5" customFormat="1" ht="12.75" customHeight="1">
      <c r="A189" s="8">
        <v>151</v>
      </c>
      <c r="B189" s="8" t="s">
        <v>210</v>
      </c>
      <c r="C189" s="8" t="s">
        <v>27</v>
      </c>
      <c r="D189" s="8" t="s">
        <v>211</v>
      </c>
      <c r="E189" s="8" t="s">
        <v>63</v>
      </c>
      <c r="F189" s="9">
        <v>18</v>
      </c>
      <c r="G189" s="10"/>
      <c r="H189" s="11">
        <f t="shared" si="6"/>
        <v>0</v>
      </c>
      <c r="I189" s="12">
        <f>44+10+20+1+3+2+11+4+15+15</f>
        <v>125</v>
      </c>
    </row>
    <row r="190" spans="1:9" s="5" customFormat="1" ht="12.75" customHeight="1">
      <c r="A190" s="8">
        <v>152</v>
      </c>
      <c r="B190" s="8" t="s">
        <v>212</v>
      </c>
      <c r="C190" s="8" t="s">
        <v>27</v>
      </c>
      <c r="D190" s="8" t="s">
        <v>213</v>
      </c>
      <c r="E190" s="8" t="s">
        <v>63</v>
      </c>
      <c r="F190" s="9">
        <v>6</v>
      </c>
      <c r="G190" s="10"/>
      <c r="H190" s="11">
        <f t="shared" si="6"/>
        <v>0</v>
      </c>
      <c r="I190" s="12">
        <f>3+10+17+20+4+2</f>
        <v>56</v>
      </c>
    </row>
    <row r="191" spans="1:9" s="5" customFormat="1" ht="12.75" customHeight="1">
      <c r="A191" s="8">
        <v>153</v>
      </c>
      <c r="B191" s="8" t="s">
        <v>214</v>
      </c>
      <c r="C191" s="8" t="s">
        <v>27</v>
      </c>
      <c r="D191" s="8" t="s">
        <v>215</v>
      </c>
      <c r="E191" s="8" t="s">
        <v>29</v>
      </c>
      <c r="F191" s="9">
        <v>7</v>
      </c>
      <c r="G191" s="10"/>
      <c r="H191" s="11">
        <f t="shared" si="6"/>
        <v>0</v>
      </c>
      <c r="I191" s="12">
        <f>38.697</f>
        <v>38.697</v>
      </c>
    </row>
    <row r="192" spans="1:15" s="5" customFormat="1" ht="12.75" customHeight="1">
      <c r="A192" s="14"/>
      <c r="B192" s="14"/>
      <c r="C192" s="14" t="s">
        <v>23</v>
      </c>
      <c r="D192" s="14" t="s">
        <v>191</v>
      </c>
      <c r="E192" s="14"/>
      <c r="F192" s="14"/>
      <c r="G192" s="14"/>
      <c r="H192" s="14">
        <f>SUM(H176:H191)</f>
        <v>0</v>
      </c>
      <c r="I192" s="16"/>
      <c r="O192" s="5">
        <f>ROUND(SUM(O176:O191),2)</f>
        <v>0</v>
      </c>
    </row>
    <row r="193" s="5" customFormat="1" ht="12.75" customHeight="1">
      <c r="I193" s="16"/>
    </row>
    <row r="194" spans="1:9" s="5" customFormat="1" ht="12.75" customHeight="1">
      <c r="A194" s="6"/>
      <c r="B194" s="6"/>
      <c r="C194" s="6" t="s">
        <v>217</v>
      </c>
      <c r="D194" s="6" t="s">
        <v>216</v>
      </c>
      <c r="E194" s="6"/>
      <c r="F194" s="6"/>
      <c r="G194" s="6"/>
      <c r="H194" s="6"/>
      <c r="I194" s="16"/>
    </row>
    <row r="195" spans="1:9" s="5" customFormat="1" ht="12.75" customHeight="1">
      <c r="A195" s="20">
        <v>154</v>
      </c>
      <c r="B195" s="20" t="s">
        <v>504</v>
      </c>
      <c r="C195" s="20"/>
      <c r="D195" s="20" t="s">
        <v>505</v>
      </c>
      <c r="E195" s="20" t="s">
        <v>468</v>
      </c>
      <c r="F195" s="21">
        <v>3</v>
      </c>
      <c r="G195" s="21"/>
      <c r="H195" s="11">
        <f aca="true" t="shared" si="7" ref="H195:H235">ROUND((G195*F195),2)</f>
        <v>0</v>
      </c>
      <c r="I195" s="22"/>
    </row>
    <row r="196" spans="1:9" s="5" customFormat="1" ht="12.75" customHeight="1">
      <c r="A196" s="20">
        <v>155</v>
      </c>
      <c r="B196" s="20" t="s">
        <v>509</v>
      </c>
      <c r="C196" s="20"/>
      <c r="D196" s="20" t="s">
        <v>506</v>
      </c>
      <c r="E196" s="20" t="s">
        <v>468</v>
      </c>
      <c r="F196" s="21">
        <v>3</v>
      </c>
      <c r="G196" s="21"/>
      <c r="H196" s="11">
        <f t="shared" si="7"/>
        <v>0</v>
      </c>
      <c r="I196" s="22"/>
    </row>
    <row r="197" spans="1:9" s="5" customFormat="1" ht="12.75" customHeight="1">
      <c r="A197" s="20">
        <v>156</v>
      </c>
      <c r="B197" s="19" t="s">
        <v>502</v>
      </c>
      <c r="C197" s="18"/>
      <c r="D197" s="20" t="s">
        <v>503</v>
      </c>
      <c r="E197" s="20" t="s">
        <v>468</v>
      </c>
      <c r="F197" s="21">
        <v>2</v>
      </c>
      <c r="G197" s="21"/>
      <c r="H197" s="11">
        <f t="shared" si="7"/>
        <v>0</v>
      </c>
      <c r="I197" s="22">
        <f>3</f>
        <v>3</v>
      </c>
    </row>
    <row r="198" spans="1:9" s="5" customFormat="1" ht="12.75" customHeight="1">
      <c r="A198" s="20">
        <v>157</v>
      </c>
      <c r="B198" s="19" t="s">
        <v>507</v>
      </c>
      <c r="C198" s="18"/>
      <c r="D198" s="20" t="s">
        <v>508</v>
      </c>
      <c r="E198" s="20" t="s">
        <v>468</v>
      </c>
      <c r="F198" s="21">
        <v>2</v>
      </c>
      <c r="G198" s="21"/>
      <c r="H198" s="11">
        <f t="shared" si="7"/>
        <v>0</v>
      </c>
      <c r="I198" s="22"/>
    </row>
    <row r="199" spans="1:9" s="5" customFormat="1" ht="12.75" customHeight="1">
      <c r="A199" s="8">
        <v>158</v>
      </c>
      <c r="B199" s="8" t="s">
        <v>218</v>
      </c>
      <c r="C199" s="8" t="s">
        <v>27</v>
      </c>
      <c r="D199" s="8" t="s">
        <v>411</v>
      </c>
      <c r="E199" s="8" t="s">
        <v>88</v>
      </c>
      <c r="F199" s="9">
        <v>1</v>
      </c>
      <c r="G199" s="10"/>
      <c r="H199" s="11">
        <f t="shared" si="7"/>
        <v>0</v>
      </c>
      <c r="I199" s="12">
        <f>6</f>
        <v>6</v>
      </c>
    </row>
    <row r="200" spans="1:9" s="5" customFormat="1" ht="12.75" customHeight="1">
      <c r="A200" s="8">
        <v>159</v>
      </c>
      <c r="B200" s="8" t="s">
        <v>219</v>
      </c>
      <c r="C200" s="8" t="s">
        <v>27</v>
      </c>
      <c r="D200" s="8" t="s">
        <v>410</v>
      </c>
      <c r="E200" s="8" t="s">
        <v>88</v>
      </c>
      <c r="F200" s="9">
        <v>1</v>
      </c>
      <c r="G200" s="10"/>
      <c r="H200" s="11">
        <f t="shared" si="7"/>
        <v>0</v>
      </c>
      <c r="I200" s="12">
        <f>13</f>
        <v>13</v>
      </c>
    </row>
    <row r="201" spans="1:9" s="5" customFormat="1" ht="12.75" customHeight="1">
      <c r="A201" s="8">
        <v>160</v>
      </c>
      <c r="B201" s="8" t="s">
        <v>220</v>
      </c>
      <c r="C201" s="8" t="s">
        <v>27</v>
      </c>
      <c r="D201" s="8" t="s">
        <v>409</v>
      </c>
      <c r="E201" s="8" t="s">
        <v>88</v>
      </c>
      <c r="F201" s="9">
        <v>54</v>
      </c>
      <c r="G201" s="10"/>
      <c r="H201" s="11">
        <f t="shared" si="7"/>
        <v>0</v>
      </c>
      <c r="I201" s="12">
        <f>13+97+426</f>
        <v>536</v>
      </c>
    </row>
    <row r="202" spans="1:9" s="5" customFormat="1" ht="12.75" customHeight="1">
      <c r="A202" s="8">
        <v>161</v>
      </c>
      <c r="B202" s="8" t="s">
        <v>221</v>
      </c>
      <c r="C202" s="8" t="s">
        <v>27</v>
      </c>
      <c r="D202" s="8" t="s">
        <v>408</v>
      </c>
      <c r="E202" s="8" t="s">
        <v>88</v>
      </c>
      <c r="F202" s="9">
        <v>25</v>
      </c>
      <c r="G202" s="10"/>
      <c r="H202" s="11">
        <f t="shared" si="7"/>
        <v>0</v>
      </c>
      <c r="I202" s="12"/>
    </row>
    <row r="203" spans="1:9" s="5" customFormat="1" ht="12.75" customHeight="1">
      <c r="A203" s="8">
        <v>162</v>
      </c>
      <c r="B203" s="8" t="s">
        <v>222</v>
      </c>
      <c r="C203" s="8" t="s">
        <v>27</v>
      </c>
      <c r="D203" s="8" t="s">
        <v>223</v>
      </c>
      <c r="E203" s="8" t="s">
        <v>88</v>
      </c>
      <c r="F203" s="9">
        <v>66.666</v>
      </c>
      <c r="G203" s="10"/>
      <c r="H203" s="11">
        <f t="shared" si="7"/>
        <v>0</v>
      </c>
      <c r="I203" s="12">
        <f>12+8+28+84+247.8+32.2+588+40</f>
        <v>1040</v>
      </c>
    </row>
    <row r="204" spans="1:9" s="5" customFormat="1" ht="12.75" customHeight="1">
      <c r="A204" s="8">
        <v>163</v>
      </c>
      <c r="B204" s="8" t="s">
        <v>224</v>
      </c>
      <c r="C204" s="8" t="s">
        <v>27</v>
      </c>
      <c r="D204" s="8" t="s">
        <v>225</v>
      </c>
      <c r="E204" s="8" t="s">
        <v>88</v>
      </c>
      <c r="F204" s="9">
        <v>4</v>
      </c>
      <c r="G204" s="10"/>
      <c r="H204" s="11">
        <f t="shared" si="7"/>
        <v>0</v>
      </c>
      <c r="I204" s="12">
        <f>20</f>
        <v>20</v>
      </c>
    </row>
    <row r="205" spans="1:9" s="5" customFormat="1" ht="12.75" customHeight="1">
      <c r="A205" s="8">
        <v>164</v>
      </c>
      <c r="B205" s="8" t="s">
        <v>226</v>
      </c>
      <c r="C205" s="8" t="s">
        <v>27</v>
      </c>
      <c r="D205" s="8" t="s">
        <v>227</v>
      </c>
      <c r="E205" s="8" t="s">
        <v>63</v>
      </c>
      <c r="F205" s="9">
        <v>100</v>
      </c>
      <c r="G205" s="10"/>
      <c r="H205" s="11">
        <f t="shared" si="7"/>
        <v>0</v>
      </c>
      <c r="I205" s="12">
        <f>79+57+14+12+12+4+6+4+32+115+8+24+20+92+60+32+114+27</f>
        <v>712</v>
      </c>
    </row>
    <row r="206" spans="1:9" s="5" customFormat="1" ht="12.75" customHeight="1">
      <c r="A206" s="8">
        <v>165</v>
      </c>
      <c r="B206" s="8" t="s">
        <v>228</v>
      </c>
      <c r="C206" s="8" t="s">
        <v>27</v>
      </c>
      <c r="D206" s="8" t="s">
        <v>229</v>
      </c>
      <c r="E206" s="8" t="s">
        <v>63</v>
      </c>
      <c r="F206" s="9">
        <v>2</v>
      </c>
      <c r="G206" s="10"/>
      <c r="H206" s="11">
        <f t="shared" si="7"/>
        <v>0</v>
      </c>
      <c r="I206" s="12">
        <f>12+12</f>
        <v>24</v>
      </c>
    </row>
    <row r="207" spans="1:9" s="5" customFormat="1" ht="12.75" customHeight="1">
      <c r="A207" s="8">
        <v>166</v>
      </c>
      <c r="B207" s="8" t="s">
        <v>230</v>
      </c>
      <c r="C207" s="8" t="s">
        <v>27</v>
      </c>
      <c r="D207" s="8" t="s">
        <v>231</v>
      </c>
      <c r="E207" s="8" t="s">
        <v>36</v>
      </c>
      <c r="F207" s="9">
        <v>800</v>
      </c>
      <c r="G207" s="10"/>
      <c r="H207" s="11">
        <f t="shared" si="7"/>
        <v>0</v>
      </c>
      <c r="I207" s="12">
        <f>534.26+694.352+29.5+107.826+3.5+22.43+55.1+7.55+15.22+36.96+25.49+7.55+151.14+11.69+15.1+595.188+11.75+699.5+15+12+458.125+561.22+566.25+143.75+51+15+58.63+112.5+7</f>
        <v>5024.581</v>
      </c>
    </row>
    <row r="208" spans="1:9" s="5" customFormat="1" ht="12.75" customHeight="1">
      <c r="A208" s="8">
        <v>167</v>
      </c>
      <c r="B208" s="8" t="s">
        <v>232</v>
      </c>
      <c r="C208" s="8" t="s">
        <v>27</v>
      </c>
      <c r="D208" s="8" t="s">
        <v>233</v>
      </c>
      <c r="E208" s="8" t="s">
        <v>36</v>
      </c>
      <c r="F208" s="9">
        <v>2</v>
      </c>
      <c r="G208" s="10"/>
      <c r="H208" s="11">
        <f t="shared" si="7"/>
        <v>0</v>
      </c>
      <c r="I208" s="12">
        <f>3.5+7</f>
        <v>10.5</v>
      </c>
    </row>
    <row r="209" spans="1:9" s="5" customFormat="1" ht="12.75" customHeight="1">
      <c r="A209" s="8">
        <v>168</v>
      </c>
      <c r="B209" s="8" t="s">
        <v>234</v>
      </c>
      <c r="C209" s="8" t="s">
        <v>27</v>
      </c>
      <c r="D209" s="8" t="s">
        <v>235</v>
      </c>
      <c r="E209" s="8" t="s">
        <v>36</v>
      </c>
      <c r="F209" s="9">
        <v>953.333</v>
      </c>
      <c r="G209" s="10"/>
      <c r="H209" s="11">
        <f t="shared" si="7"/>
        <v>0</v>
      </c>
      <c r="I209" s="12">
        <f>534.26+694.352+8.375+14+25+107.826+333.58+22.43+55.1+7.55+15.22+36.96+25.49+7.55+151.14+11.67+15.1+134.5+595.188+333.012+18.6+85.8+54.5+30.44+8+554.875+11.75+458.125+561.22+14375+51+566.25+15+931.8+1.75+4.5</f>
        <v>20856.913</v>
      </c>
    </row>
    <row r="210" spans="1:9" s="5" customFormat="1" ht="12.75" customHeight="1">
      <c r="A210" s="8">
        <v>169</v>
      </c>
      <c r="B210" s="8" t="s">
        <v>236</v>
      </c>
      <c r="C210" s="8" t="s">
        <v>27</v>
      </c>
      <c r="D210" s="8" t="s">
        <v>237</v>
      </c>
      <c r="E210" s="8" t="s">
        <v>36</v>
      </c>
      <c r="F210" s="9">
        <v>5.333</v>
      </c>
      <c r="G210" s="10"/>
      <c r="H210" s="11">
        <f t="shared" si="7"/>
        <v>0</v>
      </c>
      <c r="I210" s="12"/>
    </row>
    <row r="211" spans="1:9" s="5" customFormat="1" ht="12.75" customHeight="1">
      <c r="A211" s="8">
        <v>170</v>
      </c>
      <c r="B211" s="8" t="s">
        <v>238</v>
      </c>
      <c r="C211" s="8" t="s">
        <v>27</v>
      </c>
      <c r="D211" s="8" t="s">
        <v>239</v>
      </c>
      <c r="E211" s="8" t="s">
        <v>63</v>
      </c>
      <c r="F211" s="9">
        <v>9</v>
      </c>
      <c r="G211" s="10"/>
      <c r="H211" s="11">
        <f t="shared" si="7"/>
        <v>0</v>
      </c>
      <c r="I211" s="12">
        <f>2+2+2+2+80+2+2+2+2+13+8+6</f>
        <v>123</v>
      </c>
    </row>
    <row r="212" spans="1:9" s="5" customFormat="1" ht="12.75" customHeight="1">
      <c r="A212" s="8">
        <v>171</v>
      </c>
      <c r="B212" s="8" t="s">
        <v>240</v>
      </c>
      <c r="C212" s="8" t="s">
        <v>27</v>
      </c>
      <c r="D212" s="8" t="s">
        <v>241</v>
      </c>
      <c r="E212" s="8" t="s">
        <v>63</v>
      </c>
      <c r="F212" s="9">
        <v>9</v>
      </c>
      <c r="G212" s="10"/>
      <c r="H212" s="11">
        <f t="shared" si="7"/>
        <v>0</v>
      </c>
      <c r="I212" s="12">
        <f>2+2+2+2+80+2+2+2+2+13+8+4+2</f>
        <v>123</v>
      </c>
    </row>
    <row r="213" spans="1:9" s="5" customFormat="1" ht="12.75" customHeight="1">
      <c r="A213" s="8">
        <v>172</v>
      </c>
      <c r="B213" s="8" t="s">
        <v>242</v>
      </c>
      <c r="C213" s="8" t="s">
        <v>27</v>
      </c>
      <c r="D213" s="8" t="s">
        <v>243</v>
      </c>
      <c r="E213" s="8" t="s">
        <v>244</v>
      </c>
      <c r="F213" s="9">
        <v>915</v>
      </c>
      <c r="G213" s="10"/>
      <c r="H213" s="11">
        <f t="shared" si="7"/>
        <v>0</v>
      </c>
      <c r="I213" s="12">
        <f>124+366+480+63+14+20+180+160+1170+488+1260+7729</f>
        <v>12054</v>
      </c>
    </row>
    <row r="214" spans="1:9" s="5" customFormat="1" ht="12.75" customHeight="1">
      <c r="A214" s="8">
        <v>173</v>
      </c>
      <c r="B214" s="8" t="s">
        <v>245</v>
      </c>
      <c r="C214" s="8" t="s">
        <v>27</v>
      </c>
      <c r="D214" s="8" t="s">
        <v>246</v>
      </c>
      <c r="E214" s="8" t="s">
        <v>63</v>
      </c>
      <c r="F214" s="9">
        <v>1</v>
      </c>
      <c r="G214" s="10"/>
      <c r="H214" s="11">
        <f t="shared" si="7"/>
        <v>0</v>
      </c>
      <c r="I214" s="12">
        <f>4+2+1+1+2</f>
        <v>10</v>
      </c>
    </row>
    <row r="215" spans="1:9" s="5" customFormat="1" ht="12.75" customHeight="1">
      <c r="A215" s="8">
        <v>174</v>
      </c>
      <c r="B215" s="8" t="s">
        <v>247</v>
      </c>
      <c r="C215" s="8" t="s">
        <v>27</v>
      </c>
      <c r="D215" s="8" t="s">
        <v>248</v>
      </c>
      <c r="E215" s="8" t="s">
        <v>63</v>
      </c>
      <c r="F215" s="9">
        <v>1</v>
      </c>
      <c r="G215" s="10"/>
      <c r="H215" s="11">
        <f t="shared" si="7"/>
        <v>0</v>
      </c>
      <c r="I215" s="12">
        <f>4+2+1+1+2</f>
        <v>10</v>
      </c>
    </row>
    <row r="216" spans="1:9" s="5" customFormat="1" ht="12.75" customHeight="1">
      <c r="A216" s="8">
        <v>175</v>
      </c>
      <c r="B216" s="8" t="s">
        <v>249</v>
      </c>
      <c r="C216" s="8" t="s">
        <v>27</v>
      </c>
      <c r="D216" s="8" t="s">
        <v>250</v>
      </c>
      <c r="E216" s="8" t="s">
        <v>244</v>
      </c>
      <c r="F216" s="9">
        <v>71</v>
      </c>
      <c r="G216" s="10"/>
      <c r="H216" s="11">
        <f t="shared" si="7"/>
        <v>0</v>
      </c>
      <c r="I216" s="12">
        <f>240+480+21+21+1260</f>
        <v>2022</v>
      </c>
    </row>
    <row r="217" spans="1:9" s="5" customFormat="1" ht="12.75" customHeight="1">
      <c r="A217" s="8">
        <v>176</v>
      </c>
      <c r="B217" s="8" t="s">
        <v>251</v>
      </c>
      <c r="C217" s="8" t="s">
        <v>27</v>
      </c>
      <c r="D217" s="8" t="s">
        <v>449</v>
      </c>
      <c r="E217" s="8" t="s">
        <v>244</v>
      </c>
      <c r="F217" s="9">
        <v>3976</v>
      </c>
      <c r="G217" s="10"/>
      <c r="H217" s="11">
        <f t="shared" si="7"/>
        <v>0</v>
      </c>
      <c r="I217" s="12">
        <f>124+366+960+231+20+14+960+180+400+160+180+1260+50383</f>
        <v>55238</v>
      </c>
    </row>
    <row r="218" spans="1:9" s="5" customFormat="1" ht="12.75" customHeight="1">
      <c r="A218" s="8">
        <v>177</v>
      </c>
      <c r="B218" s="8" t="s">
        <v>252</v>
      </c>
      <c r="C218" s="8" t="s">
        <v>27</v>
      </c>
      <c r="D218" s="8" t="s">
        <v>253</v>
      </c>
      <c r="E218" s="8" t="s">
        <v>63</v>
      </c>
      <c r="F218" s="9">
        <v>28</v>
      </c>
      <c r="G218" s="10"/>
      <c r="H218" s="11">
        <f t="shared" si="7"/>
        <v>0</v>
      </c>
      <c r="I218" s="12">
        <f>2+2+4+17+80+2+2+8+248+8+2+4+2+2+6</f>
        <v>389</v>
      </c>
    </row>
    <row r="219" spans="1:9" s="5" customFormat="1" ht="12.75" customHeight="1">
      <c r="A219" s="8">
        <v>178</v>
      </c>
      <c r="B219" s="8" t="s">
        <v>254</v>
      </c>
      <c r="C219" s="8" t="s">
        <v>27</v>
      </c>
      <c r="D219" s="8" t="s">
        <v>255</v>
      </c>
      <c r="E219" s="8" t="s">
        <v>63</v>
      </c>
      <c r="F219" s="9">
        <v>28</v>
      </c>
      <c r="G219" s="10"/>
      <c r="H219" s="11">
        <f t="shared" si="7"/>
        <v>0</v>
      </c>
      <c r="I219" s="12">
        <f>2+2+2+17+80+2+2+8+8+2+4+2+2+6+250</f>
        <v>389</v>
      </c>
    </row>
    <row r="220" spans="1:9" s="5" customFormat="1" ht="12.75" customHeight="1">
      <c r="A220" s="8">
        <v>179</v>
      </c>
      <c r="B220" s="8" t="s">
        <v>256</v>
      </c>
      <c r="C220" s="8" t="s">
        <v>27</v>
      </c>
      <c r="D220" s="8" t="s">
        <v>257</v>
      </c>
      <c r="E220" s="8" t="s">
        <v>63</v>
      </c>
      <c r="F220" s="9">
        <v>137</v>
      </c>
      <c r="G220" s="10"/>
      <c r="H220" s="11">
        <f t="shared" si="7"/>
        <v>0</v>
      </c>
      <c r="I220" s="12">
        <f>600+22+12+59+300+160+4+240+50+48+100+10+240+60</f>
        <v>1905</v>
      </c>
    </row>
    <row r="221" spans="1:9" s="5" customFormat="1" ht="12.75" customHeight="1">
      <c r="A221" s="8">
        <v>180</v>
      </c>
      <c r="B221" s="8" t="s">
        <v>258</v>
      </c>
      <c r="C221" s="8" t="s">
        <v>27</v>
      </c>
      <c r="D221" s="8" t="s">
        <v>259</v>
      </c>
      <c r="E221" s="8" t="s">
        <v>63</v>
      </c>
      <c r="F221" s="9">
        <v>137</v>
      </c>
      <c r="G221" s="10"/>
      <c r="H221" s="11">
        <f t="shared" si="7"/>
        <v>0</v>
      </c>
      <c r="I221" s="12">
        <f>600+22+12+59+300+160+4+240+50+48+100+10+240+2+58</f>
        <v>1905</v>
      </c>
    </row>
    <row r="222" spans="1:9" s="5" customFormat="1" ht="12.75" customHeight="1">
      <c r="A222" s="8">
        <v>181</v>
      </c>
      <c r="B222" s="8" t="s">
        <v>260</v>
      </c>
      <c r="C222" s="8" t="s">
        <v>27</v>
      </c>
      <c r="D222" s="8" t="s">
        <v>261</v>
      </c>
      <c r="E222" s="8" t="s">
        <v>244</v>
      </c>
      <c r="F222" s="9">
        <v>28973</v>
      </c>
      <c r="G222" s="10"/>
      <c r="H222" s="11">
        <f t="shared" si="7"/>
        <v>0</v>
      </c>
      <c r="I222" s="12">
        <f>31800+1364+2196+14160+3150+40+29280+6000+1008+8000+900+20065+12600+273297</f>
        <v>403860</v>
      </c>
    </row>
    <row r="223" spans="1:9" s="5" customFormat="1" ht="12.75" customHeight="1">
      <c r="A223" s="8">
        <v>182</v>
      </c>
      <c r="B223" s="8" t="s">
        <v>262</v>
      </c>
      <c r="C223" s="8" t="s">
        <v>27</v>
      </c>
      <c r="D223" s="8" t="s">
        <v>263</v>
      </c>
      <c r="E223" s="8" t="s">
        <v>63</v>
      </c>
      <c r="F223" s="9">
        <v>109</v>
      </c>
      <c r="G223" s="10"/>
      <c r="H223" s="11">
        <f t="shared" si="7"/>
        <v>0</v>
      </c>
      <c r="I223" s="12">
        <f>87+1275</f>
        <v>1362</v>
      </c>
    </row>
    <row r="224" spans="1:9" s="5" customFormat="1" ht="12.75" customHeight="1">
      <c r="A224" s="8">
        <v>183</v>
      </c>
      <c r="B224" s="8" t="s">
        <v>264</v>
      </c>
      <c r="C224" s="8" t="s">
        <v>27</v>
      </c>
      <c r="D224" s="8" t="s">
        <v>265</v>
      </c>
      <c r="E224" s="8" t="s">
        <v>63</v>
      </c>
      <c r="F224" s="9">
        <v>109</v>
      </c>
      <c r="G224" s="10"/>
      <c r="H224" s="11">
        <f t="shared" si="7"/>
        <v>0</v>
      </c>
      <c r="I224" s="12">
        <f>87+1275</f>
        <v>1362</v>
      </c>
    </row>
    <row r="225" spans="1:9" s="5" customFormat="1" ht="12.75" customHeight="1">
      <c r="A225" s="8">
        <v>184</v>
      </c>
      <c r="B225" s="8" t="s">
        <v>266</v>
      </c>
      <c r="C225" s="8" t="s">
        <v>27</v>
      </c>
      <c r="D225" s="8" t="s">
        <v>267</v>
      </c>
      <c r="E225" s="8" t="s">
        <v>244</v>
      </c>
      <c r="F225" s="9">
        <v>13187</v>
      </c>
      <c r="G225" s="10"/>
      <c r="H225" s="11">
        <f t="shared" si="7"/>
        <v>0</v>
      </c>
      <c r="I225" s="12">
        <f>12054+55238+74800</f>
        <v>142092</v>
      </c>
    </row>
    <row r="226" spans="1:9" s="5" customFormat="1" ht="12.75" customHeight="1">
      <c r="A226" s="8">
        <v>185</v>
      </c>
      <c r="B226" s="8" t="s">
        <v>268</v>
      </c>
      <c r="C226" s="8" t="s">
        <v>27</v>
      </c>
      <c r="D226" s="8" t="s">
        <v>269</v>
      </c>
      <c r="E226" s="8" t="s">
        <v>63</v>
      </c>
      <c r="F226" s="9">
        <v>109</v>
      </c>
      <c r="G226" s="10"/>
      <c r="H226" s="11">
        <f t="shared" si="7"/>
        <v>0</v>
      </c>
      <c r="I226" s="12">
        <f>1362</f>
        <v>1362</v>
      </c>
    </row>
    <row r="227" spans="1:9" s="5" customFormat="1" ht="12.75" customHeight="1">
      <c r="A227" s="8">
        <v>186</v>
      </c>
      <c r="B227" s="8" t="s">
        <v>270</v>
      </c>
      <c r="C227" s="8" t="s">
        <v>27</v>
      </c>
      <c r="D227" s="8" t="s">
        <v>271</v>
      </c>
      <c r="E227" s="8" t="s">
        <v>63</v>
      </c>
      <c r="F227" s="9">
        <v>109</v>
      </c>
      <c r="G227" s="10"/>
      <c r="H227" s="11">
        <f t="shared" si="7"/>
        <v>0</v>
      </c>
      <c r="I227" s="12">
        <f>1362</f>
        <v>1362</v>
      </c>
    </row>
    <row r="228" spans="1:9" s="5" customFormat="1" ht="12.75" customHeight="1">
      <c r="A228" s="8">
        <v>187</v>
      </c>
      <c r="B228" s="8" t="s">
        <v>272</v>
      </c>
      <c r="C228" s="8" t="s">
        <v>27</v>
      </c>
      <c r="D228" s="8" t="s">
        <v>273</v>
      </c>
      <c r="E228" s="8" t="s">
        <v>244</v>
      </c>
      <c r="F228" s="9">
        <v>13187</v>
      </c>
      <c r="G228" s="10"/>
      <c r="H228" s="11">
        <f t="shared" si="7"/>
        <v>0</v>
      </c>
      <c r="I228" s="12">
        <f>12054+55238+74800</f>
        <v>142092</v>
      </c>
    </row>
    <row r="229" spans="1:9" s="5" customFormat="1" ht="12.75" customHeight="1">
      <c r="A229" s="8">
        <v>188</v>
      </c>
      <c r="B229" s="15">
        <v>914132</v>
      </c>
      <c r="C229" s="8"/>
      <c r="D229" s="8" t="s">
        <v>390</v>
      </c>
      <c r="E229" s="8" t="s">
        <v>63</v>
      </c>
      <c r="F229" s="9">
        <v>107</v>
      </c>
      <c r="G229" s="10"/>
      <c r="H229" s="11">
        <f t="shared" si="7"/>
        <v>0</v>
      </c>
      <c r="I229" s="12">
        <f>212+1+15+15+4+498+80+12+92+38+72+10+99+28+88+35+22+90+84</f>
        <v>1495</v>
      </c>
    </row>
    <row r="230" spans="1:9" s="5" customFormat="1" ht="12.75" customHeight="1">
      <c r="A230" s="8">
        <v>189</v>
      </c>
      <c r="B230" s="15">
        <v>914131</v>
      </c>
      <c r="C230" s="8"/>
      <c r="D230" s="8" t="s">
        <v>391</v>
      </c>
      <c r="E230" s="8" t="s">
        <v>63</v>
      </c>
      <c r="F230" s="9">
        <v>47</v>
      </c>
      <c r="G230" s="10"/>
      <c r="H230" s="11">
        <f t="shared" si="7"/>
        <v>0</v>
      </c>
      <c r="I230" s="12">
        <f>9+4+2+16+11+3+3+1+12+3+17+22+5+35+29+47+20+8+23+21+25+2+2+1+1+13+140</f>
        <v>475</v>
      </c>
    </row>
    <row r="231" spans="1:9" s="5" customFormat="1" ht="12.75" customHeight="1">
      <c r="A231" s="8">
        <v>190</v>
      </c>
      <c r="B231" s="15">
        <v>914133</v>
      </c>
      <c r="C231" s="8"/>
      <c r="D231" s="8" t="s">
        <v>392</v>
      </c>
      <c r="E231" s="8" t="s">
        <v>63</v>
      </c>
      <c r="F231" s="9">
        <v>119</v>
      </c>
      <c r="G231" s="10"/>
      <c r="H231" s="11">
        <f t="shared" si="7"/>
        <v>0</v>
      </c>
      <c r="I231" s="12">
        <f>212+17+15+22+2+498+80+12+92+10+27+38+72+10+23+99+28+88+6+35+22+90+25+2+13</f>
        <v>1538</v>
      </c>
    </row>
    <row r="232" spans="1:9" s="5" customFormat="1" ht="12.75" customHeight="1">
      <c r="A232" s="8">
        <v>191</v>
      </c>
      <c r="B232" s="15">
        <v>914139</v>
      </c>
      <c r="C232" s="8"/>
      <c r="D232" s="8" t="s">
        <v>450</v>
      </c>
      <c r="E232" s="8" t="s">
        <v>244</v>
      </c>
      <c r="F232" s="9">
        <v>9387</v>
      </c>
      <c r="G232" s="10"/>
      <c r="H232" s="11">
        <f t="shared" si="7"/>
        <v>0</v>
      </c>
      <c r="I232" s="12">
        <f>2745+5280+2724+105+20+35+372+6128+4560+1512+1200+8910+1848+2800+600+2800+1980+13066+74875</f>
        <v>131560</v>
      </c>
    </row>
    <row r="233" spans="1:9" s="5" customFormat="1" ht="12.75" customHeight="1">
      <c r="A233" s="8">
        <v>192</v>
      </c>
      <c r="B233" s="15">
        <v>914924</v>
      </c>
      <c r="C233" s="8"/>
      <c r="D233" s="8" t="s">
        <v>470</v>
      </c>
      <c r="E233" s="8" t="s">
        <v>63</v>
      </c>
      <c r="F233" s="9">
        <v>47</v>
      </c>
      <c r="G233" s="10"/>
      <c r="H233" s="11">
        <f t="shared" si="7"/>
        <v>0</v>
      </c>
      <c r="I233" s="12">
        <f>14+4+47+38+29+47+13+4+15+15+2+2+1+1</f>
        <v>232</v>
      </c>
    </row>
    <row r="234" spans="1:9" s="5" customFormat="1" ht="12.75" customHeight="1">
      <c r="A234" s="8">
        <v>193</v>
      </c>
      <c r="B234" s="15">
        <v>914923</v>
      </c>
      <c r="C234" s="8"/>
      <c r="D234" s="8" t="s">
        <v>469</v>
      </c>
      <c r="E234" s="8" t="s">
        <v>63</v>
      </c>
      <c r="F234" s="9">
        <v>7</v>
      </c>
      <c r="G234" s="10"/>
      <c r="H234" s="11">
        <f t="shared" si="7"/>
        <v>0</v>
      </c>
      <c r="I234" s="12">
        <f>14+2+10+17+2</f>
        <v>45</v>
      </c>
    </row>
    <row r="235" spans="1:9" s="5" customFormat="1" ht="12.75" customHeight="1">
      <c r="A235" s="8">
        <v>194</v>
      </c>
      <c r="B235" s="8" t="s">
        <v>274</v>
      </c>
      <c r="C235" s="8" t="s">
        <v>27</v>
      </c>
      <c r="D235" s="8" t="s">
        <v>407</v>
      </c>
      <c r="E235" s="8" t="s">
        <v>88</v>
      </c>
      <c r="F235" s="9">
        <v>3.333</v>
      </c>
      <c r="G235" s="10"/>
      <c r="H235" s="11">
        <f t="shared" si="7"/>
        <v>0</v>
      </c>
      <c r="I235" s="12">
        <f>24+17</f>
        <v>41</v>
      </c>
    </row>
    <row r="236" spans="1:9" s="5" customFormat="1" ht="12.75" customHeight="1">
      <c r="A236" s="8">
        <v>195</v>
      </c>
      <c r="B236" s="8" t="s">
        <v>275</v>
      </c>
      <c r="C236" s="8" t="s">
        <v>27</v>
      </c>
      <c r="D236" s="8" t="s">
        <v>406</v>
      </c>
      <c r="E236" s="8" t="s">
        <v>88</v>
      </c>
      <c r="F236" s="9">
        <v>1.666</v>
      </c>
      <c r="G236" s="10"/>
      <c r="H236" s="11">
        <f aca="true" t="shared" si="8" ref="H236:H267">ROUND((G236*F236),2)</f>
        <v>0</v>
      </c>
      <c r="I236" s="12">
        <f>6+4</f>
        <v>10</v>
      </c>
    </row>
    <row r="237" spans="1:9" s="5" customFormat="1" ht="12.75" customHeight="1">
      <c r="A237" s="8">
        <v>196</v>
      </c>
      <c r="B237" s="8" t="s">
        <v>276</v>
      </c>
      <c r="C237" s="8" t="s">
        <v>27</v>
      </c>
      <c r="D237" s="8" t="s">
        <v>405</v>
      </c>
      <c r="E237" s="8" t="s">
        <v>88</v>
      </c>
      <c r="F237" s="9">
        <v>23.333</v>
      </c>
      <c r="G237" s="10"/>
      <c r="H237" s="11">
        <f t="shared" si="8"/>
        <v>0</v>
      </c>
      <c r="I237" s="12">
        <f>375.4+16+472+20</f>
        <v>883.4</v>
      </c>
    </row>
    <row r="238" spans="1:9" s="5" customFormat="1" ht="12.75" customHeight="1">
      <c r="A238" s="8">
        <v>197</v>
      </c>
      <c r="B238" s="8" t="s">
        <v>277</v>
      </c>
      <c r="C238" s="8" t="s">
        <v>27</v>
      </c>
      <c r="D238" s="8" t="s">
        <v>447</v>
      </c>
      <c r="E238" s="8" t="s">
        <v>88</v>
      </c>
      <c r="F238" s="9">
        <v>166.666</v>
      </c>
      <c r="G238" s="10"/>
      <c r="H238" s="11">
        <f t="shared" si="8"/>
        <v>0</v>
      </c>
      <c r="I238" s="12">
        <f>15+280+283+133.77+112.46+39.3+1420+131.5+1046+33+41+6+65+460+22.4</f>
        <v>4088.43</v>
      </c>
    </row>
    <row r="239" spans="1:9" s="5" customFormat="1" ht="12.75" customHeight="1">
      <c r="A239" s="8">
        <v>198</v>
      </c>
      <c r="B239" s="8" t="s">
        <v>278</v>
      </c>
      <c r="C239" s="8" t="s">
        <v>27</v>
      </c>
      <c r="D239" s="8" t="s">
        <v>404</v>
      </c>
      <c r="E239" s="8" t="s">
        <v>88</v>
      </c>
      <c r="F239" s="9">
        <v>5.333</v>
      </c>
      <c r="G239" s="10"/>
      <c r="H239" s="11">
        <f t="shared" si="8"/>
        <v>0</v>
      </c>
      <c r="I239" s="12">
        <f>32.5+14.32+31.01</f>
        <v>77.83</v>
      </c>
    </row>
    <row r="240" spans="1:9" s="5" customFormat="1" ht="12.75" customHeight="1">
      <c r="A240" s="8">
        <v>199</v>
      </c>
      <c r="B240" s="8" t="s">
        <v>279</v>
      </c>
      <c r="C240" s="8" t="s">
        <v>27</v>
      </c>
      <c r="D240" s="8" t="s">
        <v>403</v>
      </c>
      <c r="E240" s="8" t="s">
        <v>88</v>
      </c>
      <c r="F240" s="9">
        <v>6.333</v>
      </c>
      <c r="G240" s="10"/>
      <c r="H240" s="11">
        <f t="shared" si="8"/>
        <v>0</v>
      </c>
      <c r="I240" s="12">
        <f>32+12.726+44</f>
        <v>88.726</v>
      </c>
    </row>
    <row r="241" spans="1:9" s="5" customFormat="1" ht="12.75" customHeight="1">
      <c r="A241" s="8">
        <v>200</v>
      </c>
      <c r="B241" s="8" t="s">
        <v>280</v>
      </c>
      <c r="C241" s="8" t="s">
        <v>27</v>
      </c>
      <c r="D241" s="8" t="s">
        <v>402</v>
      </c>
      <c r="E241" s="8" t="s">
        <v>88</v>
      </c>
      <c r="F241" s="9">
        <v>2</v>
      </c>
      <c r="G241" s="10"/>
      <c r="H241" s="11">
        <f t="shared" si="8"/>
        <v>0</v>
      </c>
      <c r="I241" s="12"/>
    </row>
    <row r="242" spans="1:9" s="5" customFormat="1" ht="12.75" customHeight="1">
      <c r="A242" s="8">
        <v>201</v>
      </c>
      <c r="B242" s="8" t="s">
        <v>281</v>
      </c>
      <c r="C242" s="8" t="s">
        <v>27</v>
      </c>
      <c r="D242" s="8" t="s">
        <v>401</v>
      </c>
      <c r="E242" s="8" t="s">
        <v>88</v>
      </c>
      <c r="F242" s="9">
        <v>2</v>
      </c>
      <c r="G242" s="10"/>
      <c r="H242" s="11">
        <f t="shared" si="8"/>
        <v>0</v>
      </c>
      <c r="I242" s="12"/>
    </row>
    <row r="243" spans="1:9" s="5" customFormat="1" ht="12.75" customHeight="1">
      <c r="A243" s="8">
        <v>202</v>
      </c>
      <c r="B243" s="8" t="s">
        <v>282</v>
      </c>
      <c r="C243" s="8" t="s">
        <v>27</v>
      </c>
      <c r="D243" s="8" t="s">
        <v>400</v>
      </c>
      <c r="E243" s="8" t="s">
        <v>88</v>
      </c>
      <c r="F243" s="9">
        <v>0.666</v>
      </c>
      <c r="G243" s="10"/>
      <c r="H243" s="11">
        <f t="shared" si="8"/>
        <v>0</v>
      </c>
      <c r="I243" s="12">
        <f>5</f>
        <v>5</v>
      </c>
    </row>
    <row r="244" spans="1:9" s="5" customFormat="1" ht="12.75" customHeight="1">
      <c r="A244" s="8">
        <v>203</v>
      </c>
      <c r="B244" s="8" t="s">
        <v>283</v>
      </c>
      <c r="C244" s="8" t="s">
        <v>27</v>
      </c>
      <c r="D244" s="8" t="s">
        <v>399</v>
      </c>
      <c r="E244" s="8" t="s">
        <v>88</v>
      </c>
      <c r="F244" s="9">
        <v>5.333</v>
      </c>
      <c r="G244" s="10"/>
      <c r="H244" s="11">
        <f t="shared" si="8"/>
        <v>0</v>
      </c>
      <c r="I244" s="12">
        <f>55</f>
        <v>55</v>
      </c>
    </row>
    <row r="245" spans="1:9" s="5" customFormat="1" ht="12.75" customHeight="1">
      <c r="A245" s="8">
        <v>204</v>
      </c>
      <c r="B245" s="8" t="s">
        <v>284</v>
      </c>
      <c r="C245" s="8" t="s">
        <v>27</v>
      </c>
      <c r="D245" s="8" t="s">
        <v>398</v>
      </c>
      <c r="E245" s="8" t="s">
        <v>88</v>
      </c>
      <c r="F245" s="9">
        <v>3</v>
      </c>
      <c r="G245" s="10"/>
      <c r="H245" s="11">
        <f t="shared" si="8"/>
        <v>0</v>
      </c>
      <c r="I245" s="12">
        <f>101.59</f>
        <v>101.59</v>
      </c>
    </row>
    <row r="246" spans="1:9" s="5" customFormat="1" ht="12.75" customHeight="1">
      <c r="A246" s="8">
        <v>205</v>
      </c>
      <c r="B246" s="8" t="s">
        <v>285</v>
      </c>
      <c r="C246" s="8" t="s">
        <v>27</v>
      </c>
      <c r="D246" s="8" t="s">
        <v>397</v>
      </c>
      <c r="E246" s="8" t="s">
        <v>88</v>
      </c>
      <c r="F246" s="9">
        <v>2</v>
      </c>
      <c r="G246" s="10"/>
      <c r="H246" s="11">
        <f t="shared" si="8"/>
        <v>0</v>
      </c>
      <c r="I246" s="12"/>
    </row>
    <row r="247" spans="1:9" s="5" customFormat="1" ht="12.75" customHeight="1">
      <c r="A247" s="8">
        <v>206</v>
      </c>
      <c r="B247" s="8" t="s">
        <v>286</v>
      </c>
      <c r="C247" s="8" t="s">
        <v>27</v>
      </c>
      <c r="D247" s="8" t="s">
        <v>396</v>
      </c>
      <c r="E247" s="8" t="s">
        <v>88</v>
      </c>
      <c r="F247" s="9">
        <v>3.333</v>
      </c>
      <c r="G247" s="10"/>
      <c r="H247" s="11">
        <f t="shared" si="8"/>
        <v>0</v>
      </c>
      <c r="I247" s="12"/>
    </row>
    <row r="248" spans="1:9" s="5" customFormat="1" ht="12.75" customHeight="1">
      <c r="A248" s="8">
        <v>207</v>
      </c>
      <c r="B248" s="8" t="s">
        <v>287</v>
      </c>
      <c r="C248" s="8" t="s">
        <v>27</v>
      </c>
      <c r="D248" s="8" t="s">
        <v>395</v>
      </c>
      <c r="E248" s="8" t="s">
        <v>88</v>
      </c>
      <c r="F248" s="9">
        <v>1.333</v>
      </c>
      <c r="G248" s="10"/>
      <c r="H248" s="11">
        <f t="shared" si="8"/>
        <v>0</v>
      </c>
      <c r="I248" s="12"/>
    </row>
    <row r="249" spans="1:9" s="5" customFormat="1" ht="12.75" customHeight="1">
      <c r="A249" s="8">
        <v>208</v>
      </c>
      <c r="B249" s="8" t="s">
        <v>288</v>
      </c>
      <c r="C249" s="8" t="s">
        <v>27</v>
      </c>
      <c r="D249" s="8" t="s">
        <v>394</v>
      </c>
      <c r="E249" s="8" t="s">
        <v>88</v>
      </c>
      <c r="F249" s="9">
        <v>1</v>
      </c>
      <c r="G249" s="10"/>
      <c r="H249" s="11">
        <f t="shared" si="8"/>
        <v>0</v>
      </c>
      <c r="I249" s="12"/>
    </row>
    <row r="250" spans="1:9" s="5" customFormat="1" ht="12.75" customHeight="1">
      <c r="A250" s="8">
        <v>209</v>
      </c>
      <c r="B250" s="8" t="s">
        <v>289</v>
      </c>
      <c r="C250" s="8" t="s">
        <v>27</v>
      </c>
      <c r="D250" s="8" t="s">
        <v>393</v>
      </c>
      <c r="E250" s="8" t="s">
        <v>88</v>
      </c>
      <c r="F250" s="9">
        <v>2</v>
      </c>
      <c r="G250" s="10"/>
      <c r="H250" s="11">
        <f t="shared" si="8"/>
        <v>0</v>
      </c>
      <c r="I250" s="12"/>
    </row>
    <row r="251" spans="1:9" s="5" customFormat="1" ht="12.75" customHeight="1">
      <c r="A251" s="8">
        <v>210</v>
      </c>
      <c r="B251" s="8" t="s">
        <v>290</v>
      </c>
      <c r="C251" s="8" t="s">
        <v>27</v>
      </c>
      <c r="D251" s="8" t="s">
        <v>291</v>
      </c>
      <c r="E251" s="8" t="s">
        <v>63</v>
      </c>
      <c r="F251" s="9">
        <v>2</v>
      </c>
      <c r="G251" s="10"/>
      <c r="H251" s="11">
        <f t="shared" si="8"/>
        <v>0</v>
      </c>
      <c r="I251" s="12">
        <f>6+5+2+1</f>
        <v>14</v>
      </c>
    </row>
    <row r="252" spans="1:9" s="5" customFormat="1" ht="12.75" customHeight="1">
      <c r="A252" s="8">
        <v>211</v>
      </c>
      <c r="B252" s="8" t="s">
        <v>292</v>
      </c>
      <c r="C252" s="8" t="s">
        <v>27</v>
      </c>
      <c r="D252" s="8" t="s">
        <v>293</v>
      </c>
      <c r="E252" s="8" t="s">
        <v>63</v>
      </c>
      <c r="F252" s="9">
        <v>5</v>
      </c>
      <c r="G252" s="10"/>
      <c r="H252" s="11">
        <f t="shared" si="8"/>
        <v>0</v>
      </c>
      <c r="I252" s="12">
        <f>1+8+7+2+14</f>
        <v>32</v>
      </c>
    </row>
    <row r="253" spans="1:9" s="5" customFormat="1" ht="12.75" customHeight="1">
      <c r="A253" s="8">
        <v>212</v>
      </c>
      <c r="B253" s="8" t="s">
        <v>294</v>
      </c>
      <c r="C253" s="8" t="s">
        <v>27</v>
      </c>
      <c r="D253" s="8" t="s">
        <v>295</v>
      </c>
      <c r="E253" s="8" t="s">
        <v>63</v>
      </c>
      <c r="F253" s="9">
        <v>1</v>
      </c>
      <c r="G253" s="10"/>
      <c r="H253" s="11">
        <f t="shared" si="8"/>
        <v>0</v>
      </c>
      <c r="I253" s="12">
        <f>7+8</f>
        <v>15</v>
      </c>
    </row>
    <row r="254" spans="1:9" s="5" customFormat="1" ht="12.75" customHeight="1">
      <c r="A254" s="8">
        <v>213</v>
      </c>
      <c r="B254" s="8" t="s">
        <v>296</v>
      </c>
      <c r="C254" s="8" t="s">
        <v>27</v>
      </c>
      <c r="D254" s="8" t="s">
        <v>297</v>
      </c>
      <c r="E254" s="8" t="s">
        <v>63</v>
      </c>
      <c r="F254" s="9">
        <v>1</v>
      </c>
      <c r="G254" s="10"/>
      <c r="H254" s="11">
        <f t="shared" si="8"/>
        <v>0</v>
      </c>
      <c r="I254" s="12"/>
    </row>
    <row r="255" spans="1:9" s="5" customFormat="1" ht="12.75" customHeight="1">
      <c r="A255" s="8">
        <v>214</v>
      </c>
      <c r="B255" s="8" t="s">
        <v>298</v>
      </c>
      <c r="C255" s="8" t="s">
        <v>27</v>
      </c>
      <c r="D255" s="8" t="s">
        <v>299</v>
      </c>
      <c r="E255" s="8" t="s">
        <v>63</v>
      </c>
      <c r="F255" s="9">
        <v>1</v>
      </c>
      <c r="G255" s="10"/>
      <c r="H255" s="11">
        <f t="shared" si="8"/>
        <v>0</v>
      </c>
      <c r="I255" s="12">
        <f>2</f>
        <v>2</v>
      </c>
    </row>
    <row r="256" spans="1:9" s="5" customFormat="1" ht="12.75" customHeight="1">
      <c r="A256" s="8">
        <v>215</v>
      </c>
      <c r="B256" s="8" t="s">
        <v>300</v>
      </c>
      <c r="C256" s="8" t="s">
        <v>27</v>
      </c>
      <c r="D256" s="8" t="s">
        <v>301</v>
      </c>
      <c r="E256" s="8" t="s">
        <v>63</v>
      </c>
      <c r="F256" s="9">
        <v>1</v>
      </c>
      <c r="G256" s="10"/>
      <c r="H256" s="11">
        <f t="shared" si="8"/>
        <v>0</v>
      </c>
      <c r="I256" s="12"/>
    </row>
    <row r="257" spans="1:9" s="5" customFormat="1" ht="12.75" customHeight="1">
      <c r="A257" s="8">
        <v>216</v>
      </c>
      <c r="B257" s="8" t="s">
        <v>302</v>
      </c>
      <c r="C257" s="8" t="s">
        <v>27</v>
      </c>
      <c r="D257" s="8" t="s">
        <v>303</v>
      </c>
      <c r="E257" s="8" t="s">
        <v>63</v>
      </c>
      <c r="F257" s="9">
        <v>1</v>
      </c>
      <c r="G257" s="10"/>
      <c r="H257" s="11">
        <f t="shared" si="8"/>
        <v>0</v>
      </c>
      <c r="I257" s="12">
        <f>2</f>
        <v>2</v>
      </c>
    </row>
    <row r="258" spans="1:9" s="5" customFormat="1" ht="12.75" customHeight="1">
      <c r="A258" s="8">
        <v>217</v>
      </c>
      <c r="B258" s="8" t="s">
        <v>304</v>
      </c>
      <c r="C258" s="8" t="s">
        <v>27</v>
      </c>
      <c r="D258" s="8" t="s">
        <v>305</v>
      </c>
      <c r="E258" s="8" t="s">
        <v>63</v>
      </c>
      <c r="F258" s="9">
        <v>1</v>
      </c>
      <c r="G258" s="10"/>
      <c r="H258" s="11">
        <f t="shared" si="8"/>
        <v>0</v>
      </c>
      <c r="I258" s="12"/>
    </row>
    <row r="259" spans="1:9" s="5" customFormat="1" ht="12.75" customHeight="1">
      <c r="A259" s="8">
        <v>218</v>
      </c>
      <c r="B259" s="8" t="s">
        <v>306</v>
      </c>
      <c r="C259" s="8" t="s">
        <v>27</v>
      </c>
      <c r="D259" s="8" t="s">
        <v>307</v>
      </c>
      <c r="E259" s="8" t="s">
        <v>63</v>
      </c>
      <c r="F259" s="9">
        <v>1</v>
      </c>
      <c r="G259" s="10"/>
      <c r="H259" s="11">
        <f t="shared" si="8"/>
        <v>0</v>
      </c>
      <c r="I259" s="12">
        <f>2+1</f>
        <v>3</v>
      </c>
    </row>
    <row r="260" spans="1:9" s="5" customFormat="1" ht="12.75" customHeight="1">
      <c r="A260" s="8">
        <v>219</v>
      </c>
      <c r="B260" s="8" t="s">
        <v>308</v>
      </c>
      <c r="C260" s="8" t="s">
        <v>27</v>
      </c>
      <c r="D260" s="8" t="s">
        <v>309</v>
      </c>
      <c r="E260" s="8" t="s">
        <v>63</v>
      </c>
      <c r="F260" s="9">
        <v>1</v>
      </c>
      <c r="G260" s="10"/>
      <c r="H260" s="11">
        <f t="shared" si="8"/>
        <v>0</v>
      </c>
      <c r="I260" s="12"/>
    </row>
    <row r="261" spans="1:9" s="5" customFormat="1" ht="12.75" customHeight="1">
      <c r="A261" s="8">
        <v>220</v>
      </c>
      <c r="B261" s="8" t="s">
        <v>310</v>
      </c>
      <c r="C261" s="8" t="s">
        <v>27</v>
      </c>
      <c r="D261" s="8" t="s">
        <v>311</v>
      </c>
      <c r="E261" s="8" t="s">
        <v>63</v>
      </c>
      <c r="F261" s="9">
        <v>1</v>
      </c>
      <c r="G261" s="10"/>
      <c r="H261" s="11">
        <f t="shared" si="8"/>
        <v>0</v>
      </c>
      <c r="I261" s="12"/>
    </row>
    <row r="262" spans="1:9" s="5" customFormat="1" ht="12.75" customHeight="1">
      <c r="A262" s="8">
        <v>221</v>
      </c>
      <c r="B262" s="8" t="s">
        <v>312</v>
      </c>
      <c r="C262" s="8" t="s">
        <v>27</v>
      </c>
      <c r="D262" s="8" t="s">
        <v>313</v>
      </c>
      <c r="E262" s="8" t="s">
        <v>63</v>
      </c>
      <c r="F262" s="9">
        <v>1</v>
      </c>
      <c r="G262" s="10"/>
      <c r="H262" s="11">
        <f t="shared" si="8"/>
        <v>0</v>
      </c>
      <c r="I262" s="12"/>
    </row>
    <row r="263" spans="1:9" s="5" customFormat="1" ht="12.75" customHeight="1">
      <c r="A263" s="8">
        <v>222</v>
      </c>
      <c r="B263" s="8" t="s">
        <v>314</v>
      </c>
      <c r="C263" s="8" t="s">
        <v>27</v>
      </c>
      <c r="D263" s="8" t="s">
        <v>315</v>
      </c>
      <c r="E263" s="8" t="s">
        <v>88</v>
      </c>
      <c r="F263" s="9">
        <v>2</v>
      </c>
      <c r="G263" s="10"/>
      <c r="H263" s="11">
        <f t="shared" si="8"/>
        <v>0</v>
      </c>
      <c r="I263" s="12">
        <f>2+18</f>
        <v>20</v>
      </c>
    </row>
    <row r="264" spans="1:9" s="5" customFormat="1" ht="12.75" customHeight="1">
      <c r="A264" s="8">
        <v>223</v>
      </c>
      <c r="B264" s="8" t="s">
        <v>316</v>
      </c>
      <c r="C264" s="8" t="s">
        <v>27</v>
      </c>
      <c r="D264" s="8" t="s">
        <v>317</v>
      </c>
      <c r="E264" s="8" t="s">
        <v>88</v>
      </c>
      <c r="F264" s="9">
        <v>41.333</v>
      </c>
      <c r="G264" s="10"/>
      <c r="H264" s="11">
        <f t="shared" si="8"/>
        <v>0</v>
      </c>
      <c r="I264" s="12">
        <f>3+12+86.5+111+61</f>
        <v>273.5</v>
      </c>
    </row>
    <row r="265" spans="1:9" s="5" customFormat="1" ht="12.75" customHeight="1">
      <c r="A265" s="8">
        <v>224</v>
      </c>
      <c r="B265" s="8" t="s">
        <v>318</v>
      </c>
      <c r="C265" s="8" t="s">
        <v>27</v>
      </c>
      <c r="D265" s="8" t="s">
        <v>319</v>
      </c>
      <c r="E265" s="8" t="s">
        <v>88</v>
      </c>
      <c r="F265" s="9">
        <v>1.733</v>
      </c>
      <c r="G265" s="10"/>
      <c r="H265" s="11">
        <f t="shared" si="8"/>
        <v>0</v>
      </c>
      <c r="I265" s="12">
        <f>3+12.1+13.5</f>
        <v>28.6</v>
      </c>
    </row>
    <row r="266" spans="1:9" s="5" customFormat="1" ht="12.75" customHeight="1">
      <c r="A266" s="8">
        <v>225</v>
      </c>
      <c r="B266" s="8" t="s">
        <v>320</v>
      </c>
      <c r="C266" s="8" t="s">
        <v>27</v>
      </c>
      <c r="D266" s="8" t="s">
        <v>321</v>
      </c>
      <c r="E266" s="8" t="s">
        <v>88</v>
      </c>
      <c r="F266" s="9">
        <v>1.333</v>
      </c>
      <c r="G266" s="10"/>
      <c r="H266" s="11">
        <f t="shared" si="8"/>
        <v>0</v>
      </c>
      <c r="I266" s="12">
        <f>18</f>
        <v>18</v>
      </c>
    </row>
    <row r="267" spans="1:9" s="5" customFormat="1" ht="12.75" customHeight="1">
      <c r="A267" s="8">
        <v>226</v>
      </c>
      <c r="B267" s="8" t="s">
        <v>322</v>
      </c>
      <c r="C267" s="8" t="s">
        <v>27</v>
      </c>
      <c r="D267" s="8" t="s">
        <v>323</v>
      </c>
      <c r="E267" s="8" t="s">
        <v>88</v>
      </c>
      <c r="F267" s="9">
        <v>1.133</v>
      </c>
      <c r="G267" s="10"/>
      <c r="H267" s="11">
        <f t="shared" si="8"/>
        <v>0</v>
      </c>
      <c r="I267" s="12">
        <f>9.15+9.35+15.9</f>
        <v>34.4</v>
      </c>
    </row>
    <row r="268" spans="1:9" s="5" customFormat="1" ht="12.75" customHeight="1">
      <c r="A268" s="8">
        <v>227</v>
      </c>
      <c r="B268" s="8" t="s">
        <v>324</v>
      </c>
      <c r="C268" s="8" t="s">
        <v>27</v>
      </c>
      <c r="D268" s="8" t="s">
        <v>325</v>
      </c>
      <c r="E268" s="8" t="s">
        <v>88</v>
      </c>
      <c r="F268" s="9">
        <v>0.533</v>
      </c>
      <c r="G268" s="10"/>
      <c r="H268" s="11">
        <f aca="true" t="shared" si="9" ref="H268:H301">ROUND((G268*F268),2)</f>
        <v>0</v>
      </c>
      <c r="I268" s="12"/>
    </row>
    <row r="269" spans="1:9" s="5" customFormat="1" ht="12.75" customHeight="1">
      <c r="A269" s="8">
        <v>228</v>
      </c>
      <c r="B269" s="15">
        <v>918545</v>
      </c>
      <c r="C269" s="8"/>
      <c r="D269" s="8" t="s">
        <v>471</v>
      </c>
      <c r="E269" s="8" t="s">
        <v>63</v>
      </c>
      <c r="F269" s="9">
        <v>1</v>
      </c>
      <c r="G269" s="10"/>
      <c r="H269" s="11">
        <f t="shared" si="9"/>
        <v>0</v>
      </c>
      <c r="I269" s="12">
        <f>3</f>
        <v>3</v>
      </c>
    </row>
    <row r="270" spans="1:9" s="5" customFormat="1" ht="12.75" customHeight="1">
      <c r="A270" s="8">
        <v>229</v>
      </c>
      <c r="B270" s="15">
        <v>918546</v>
      </c>
      <c r="C270" s="8"/>
      <c r="D270" s="8" t="s">
        <v>472</v>
      </c>
      <c r="E270" s="8" t="s">
        <v>63</v>
      </c>
      <c r="F270" s="9">
        <v>2</v>
      </c>
      <c r="G270" s="10"/>
      <c r="H270" s="11">
        <f t="shared" si="9"/>
        <v>0</v>
      </c>
      <c r="I270" s="12">
        <f>12</f>
        <v>12</v>
      </c>
    </row>
    <row r="271" spans="1:9" s="5" customFormat="1" ht="12.75" customHeight="1">
      <c r="A271" s="8">
        <v>230</v>
      </c>
      <c r="B271" s="15">
        <v>918557</v>
      </c>
      <c r="C271" s="8"/>
      <c r="D271" s="8" t="s">
        <v>473</v>
      </c>
      <c r="E271" s="8" t="s">
        <v>63</v>
      </c>
      <c r="F271" s="9">
        <v>1</v>
      </c>
      <c r="G271" s="10"/>
      <c r="H271" s="11">
        <f t="shared" si="9"/>
        <v>0</v>
      </c>
      <c r="I271" s="12">
        <f>2+2+2</f>
        <v>6</v>
      </c>
    </row>
    <row r="272" spans="1:9" s="5" customFormat="1" ht="12.75" customHeight="1">
      <c r="A272" s="8">
        <v>231</v>
      </c>
      <c r="B272" s="15">
        <v>918558</v>
      </c>
      <c r="C272" s="8"/>
      <c r="D272" s="8" t="s">
        <v>474</v>
      </c>
      <c r="E272" s="8" t="s">
        <v>63</v>
      </c>
      <c r="F272" s="9">
        <v>1</v>
      </c>
      <c r="G272" s="10"/>
      <c r="H272" s="11">
        <f t="shared" si="9"/>
        <v>0</v>
      </c>
      <c r="I272" s="12">
        <f>10</f>
        <v>10</v>
      </c>
    </row>
    <row r="273" spans="1:9" s="5" customFormat="1" ht="12.75" customHeight="1">
      <c r="A273" s="8">
        <v>232</v>
      </c>
      <c r="B273" s="15">
        <v>91856</v>
      </c>
      <c r="C273" s="8"/>
      <c r="D273" s="8" t="s">
        <v>475</v>
      </c>
      <c r="E273" s="8" t="s">
        <v>63</v>
      </c>
      <c r="F273" s="9">
        <v>1</v>
      </c>
      <c r="G273" s="10"/>
      <c r="H273" s="11">
        <f t="shared" si="9"/>
        <v>0</v>
      </c>
      <c r="I273" s="12">
        <f>2</f>
        <v>2</v>
      </c>
    </row>
    <row r="274" spans="1:9" s="5" customFormat="1" ht="12.75" customHeight="1">
      <c r="A274" s="8">
        <v>233</v>
      </c>
      <c r="B274" s="15">
        <v>918571</v>
      </c>
      <c r="C274" s="8"/>
      <c r="D274" s="8" t="s">
        <v>476</v>
      </c>
      <c r="E274" s="8" t="s">
        <v>63</v>
      </c>
      <c r="F274" s="9">
        <v>1</v>
      </c>
      <c r="G274" s="10"/>
      <c r="H274" s="11">
        <f t="shared" si="9"/>
        <v>0</v>
      </c>
      <c r="I274" s="12"/>
    </row>
    <row r="275" spans="1:9" s="5" customFormat="1" ht="12.75" customHeight="1">
      <c r="A275" s="8">
        <v>234</v>
      </c>
      <c r="B275" s="8" t="s">
        <v>326</v>
      </c>
      <c r="C275" s="8" t="s">
        <v>27</v>
      </c>
      <c r="D275" s="8" t="s">
        <v>327</v>
      </c>
      <c r="E275" s="8" t="s">
        <v>88</v>
      </c>
      <c r="F275" s="9">
        <v>233.333</v>
      </c>
      <c r="G275" s="10"/>
      <c r="H275" s="11">
        <f t="shared" si="9"/>
        <v>0</v>
      </c>
      <c r="I275" s="12">
        <f>43.85+35+622.98+12.74+39.57+55.74+23.5+381+103.05+64+20+2603.8+48+26+478.8+307</f>
        <v>4865.030000000001</v>
      </c>
    </row>
    <row r="276" spans="1:9" s="5" customFormat="1" ht="12.75" customHeight="1">
      <c r="A276" s="8">
        <v>235</v>
      </c>
      <c r="B276" s="8" t="s">
        <v>328</v>
      </c>
      <c r="C276" s="8" t="s">
        <v>27</v>
      </c>
      <c r="D276" s="8" t="s">
        <v>329</v>
      </c>
      <c r="E276" s="8" t="s">
        <v>88</v>
      </c>
      <c r="F276" s="9">
        <v>900</v>
      </c>
      <c r="G276" s="10"/>
      <c r="H276" s="11">
        <f t="shared" si="9"/>
        <v>0</v>
      </c>
      <c r="I276" s="12">
        <f>175+4291.2+622.98+86.87+924.6+381+103.05+618+64+3407.7+260+13.25+40+335+35</f>
        <v>11357.650000000001</v>
      </c>
    </row>
    <row r="277" spans="1:9" s="5" customFormat="1" ht="12.75" customHeight="1">
      <c r="A277" s="8">
        <v>236</v>
      </c>
      <c r="B277" s="8" t="s">
        <v>330</v>
      </c>
      <c r="C277" s="8" t="s">
        <v>27</v>
      </c>
      <c r="D277" s="8" t="s">
        <v>331</v>
      </c>
      <c r="E277" s="8" t="s">
        <v>88</v>
      </c>
      <c r="F277" s="9">
        <v>17.333</v>
      </c>
      <c r="G277" s="10"/>
      <c r="H277" s="11">
        <f t="shared" si="9"/>
        <v>0</v>
      </c>
      <c r="I277" s="12">
        <f>275+13+13+16</f>
        <v>317</v>
      </c>
    </row>
    <row r="278" spans="1:9" s="5" customFormat="1" ht="12.75" customHeight="1">
      <c r="A278" s="8">
        <v>237</v>
      </c>
      <c r="B278" s="8" t="s">
        <v>332</v>
      </c>
      <c r="C278" s="8" t="s">
        <v>27</v>
      </c>
      <c r="D278" s="8" t="s">
        <v>333</v>
      </c>
      <c r="E278" s="8" t="s">
        <v>88</v>
      </c>
      <c r="F278" s="9">
        <v>1.666</v>
      </c>
      <c r="G278" s="10"/>
      <c r="H278" s="11">
        <f t="shared" si="9"/>
        <v>0</v>
      </c>
      <c r="I278" s="12"/>
    </row>
    <row r="279" spans="1:9" s="5" customFormat="1" ht="12.75" customHeight="1">
      <c r="A279" s="8">
        <v>238</v>
      </c>
      <c r="B279" s="8" t="s">
        <v>334</v>
      </c>
      <c r="C279" s="8" t="s">
        <v>27</v>
      </c>
      <c r="D279" s="8" t="s">
        <v>335</v>
      </c>
      <c r="E279" s="8" t="s">
        <v>88</v>
      </c>
      <c r="F279" s="9">
        <v>1</v>
      </c>
      <c r="G279" s="10"/>
      <c r="H279" s="11">
        <f t="shared" si="9"/>
        <v>0</v>
      </c>
      <c r="I279" s="12"/>
    </row>
    <row r="280" spans="1:9" s="5" customFormat="1" ht="12.75" customHeight="1">
      <c r="A280" s="8">
        <v>239</v>
      </c>
      <c r="B280" s="8" t="s">
        <v>336</v>
      </c>
      <c r="C280" s="8" t="s">
        <v>27</v>
      </c>
      <c r="D280" s="8" t="s">
        <v>337</v>
      </c>
      <c r="E280" s="8" t="s">
        <v>88</v>
      </c>
      <c r="F280" s="9">
        <v>0.666</v>
      </c>
      <c r="G280" s="10"/>
      <c r="H280" s="11">
        <f t="shared" si="9"/>
        <v>0</v>
      </c>
      <c r="I280" s="12">
        <f>20</f>
        <v>20</v>
      </c>
    </row>
    <row r="281" spans="1:9" s="5" customFormat="1" ht="12.75" customHeight="1">
      <c r="A281" s="8">
        <v>240</v>
      </c>
      <c r="B281" s="8" t="s">
        <v>338</v>
      </c>
      <c r="C281" s="8" t="s">
        <v>27</v>
      </c>
      <c r="D281" s="8" t="s">
        <v>339</v>
      </c>
      <c r="E281" s="8" t="s">
        <v>29</v>
      </c>
      <c r="F281" s="9">
        <v>1.066</v>
      </c>
      <c r="G281" s="10"/>
      <c r="H281" s="11">
        <f t="shared" si="9"/>
        <v>0</v>
      </c>
      <c r="I281" s="12">
        <f>4.291+0.96+1.135+0.01+0.1+0.31+0.8+0.16+2.01+0.04+0.07</f>
        <v>9.886</v>
      </c>
    </row>
    <row r="282" spans="1:9" s="5" customFormat="1" ht="12.75" customHeight="1">
      <c r="A282" s="8">
        <v>241</v>
      </c>
      <c r="B282" s="8" t="s">
        <v>340</v>
      </c>
      <c r="C282" s="8" t="s">
        <v>27</v>
      </c>
      <c r="D282" s="8" t="s">
        <v>341</v>
      </c>
      <c r="E282" s="8" t="s">
        <v>29</v>
      </c>
      <c r="F282" s="9">
        <v>0.133</v>
      </c>
      <c r="G282" s="10"/>
      <c r="H282" s="11">
        <f t="shared" si="9"/>
        <v>0</v>
      </c>
      <c r="I282" s="12">
        <f>0.16+0.05+3.333+0.01+0.38+0.31</f>
        <v>4.242999999999999</v>
      </c>
    </row>
    <row r="283" spans="1:9" s="5" customFormat="1" ht="12.75" customHeight="1">
      <c r="A283" s="8">
        <v>242</v>
      </c>
      <c r="B283" s="8" t="s">
        <v>342</v>
      </c>
      <c r="C283" s="8" t="s">
        <v>27</v>
      </c>
      <c r="D283" s="8" t="s">
        <v>343</v>
      </c>
      <c r="E283" s="8" t="s">
        <v>88</v>
      </c>
      <c r="F283" s="9">
        <v>2</v>
      </c>
      <c r="G283" s="10"/>
      <c r="H283" s="11">
        <f t="shared" si="9"/>
        <v>0</v>
      </c>
      <c r="I283" s="12"/>
    </row>
    <row r="284" spans="1:9" s="5" customFormat="1" ht="12.75" customHeight="1">
      <c r="A284" s="8">
        <v>243</v>
      </c>
      <c r="B284" s="15">
        <v>935222</v>
      </c>
      <c r="C284" s="8" t="s">
        <v>27</v>
      </c>
      <c r="D284" s="8" t="s">
        <v>494</v>
      </c>
      <c r="E284" s="8" t="s">
        <v>88</v>
      </c>
      <c r="F284" s="9">
        <v>13.333</v>
      </c>
      <c r="G284" s="10"/>
      <c r="H284" s="11">
        <f t="shared" si="9"/>
        <v>0</v>
      </c>
      <c r="I284" s="12">
        <f>40+14+263+40</f>
        <v>357</v>
      </c>
    </row>
    <row r="285" spans="1:9" s="5" customFormat="1" ht="12.75" customHeight="1">
      <c r="A285" s="8">
        <v>244</v>
      </c>
      <c r="B285" s="8" t="s">
        <v>344</v>
      </c>
      <c r="C285" s="8" t="s">
        <v>27</v>
      </c>
      <c r="D285" s="8" t="s">
        <v>345</v>
      </c>
      <c r="E285" s="8" t="s">
        <v>36</v>
      </c>
      <c r="F285" s="9">
        <v>8</v>
      </c>
      <c r="G285" s="10"/>
      <c r="H285" s="11">
        <f t="shared" si="9"/>
        <v>0</v>
      </c>
      <c r="I285" s="12">
        <f>54+56.875+71+7</f>
        <v>188.875</v>
      </c>
    </row>
    <row r="286" spans="1:9" s="5" customFormat="1" ht="12.75" customHeight="1">
      <c r="A286" s="8">
        <v>245</v>
      </c>
      <c r="B286" s="8" t="s">
        <v>346</v>
      </c>
      <c r="C286" s="8" t="s">
        <v>27</v>
      </c>
      <c r="D286" s="8" t="s">
        <v>347</v>
      </c>
      <c r="E286" s="8" t="s">
        <v>63</v>
      </c>
      <c r="F286" s="9">
        <v>1</v>
      </c>
      <c r="G286" s="10"/>
      <c r="H286" s="11">
        <f t="shared" si="9"/>
        <v>0</v>
      </c>
      <c r="I286" s="12">
        <f>2</f>
        <v>2</v>
      </c>
    </row>
    <row r="287" spans="1:9" s="5" customFormat="1" ht="12.75" customHeight="1">
      <c r="A287" s="8">
        <v>246</v>
      </c>
      <c r="B287" s="8" t="s">
        <v>348</v>
      </c>
      <c r="C287" s="8" t="s">
        <v>27</v>
      </c>
      <c r="D287" s="8" t="s">
        <v>349</v>
      </c>
      <c r="E287" s="8" t="s">
        <v>36</v>
      </c>
      <c r="F287" s="9">
        <v>8666.666</v>
      </c>
      <c r="G287" s="10"/>
      <c r="H287" s="11">
        <f t="shared" si="9"/>
        <v>0</v>
      </c>
      <c r="I287" s="12">
        <f>27716.5+1350+1536+8477.86+266.4+7057.5+31560.6+8603.68+17587.8+13650+20</f>
        <v>117826.34000000001</v>
      </c>
    </row>
    <row r="288" spans="1:9" s="5" customFormat="1" ht="12.75" customHeight="1">
      <c r="A288" s="8">
        <v>247</v>
      </c>
      <c r="B288" s="8" t="s">
        <v>350</v>
      </c>
      <c r="C288" s="8" t="s">
        <v>27</v>
      </c>
      <c r="D288" s="8" t="s">
        <v>351</v>
      </c>
      <c r="E288" s="8" t="s">
        <v>36</v>
      </c>
      <c r="F288" s="9">
        <v>566.666</v>
      </c>
      <c r="G288" s="10"/>
      <c r="H288" s="11">
        <f t="shared" si="9"/>
        <v>0</v>
      </c>
      <c r="I288" s="12">
        <f>8477.86+266.4+7057.5</f>
        <v>15801.76</v>
      </c>
    </row>
    <row r="289" spans="1:9" s="5" customFormat="1" ht="12.75" customHeight="1">
      <c r="A289" s="8">
        <v>248</v>
      </c>
      <c r="B289" s="15">
        <v>96611</v>
      </c>
      <c r="C289" s="8" t="s">
        <v>27</v>
      </c>
      <c r="D289" s="17" t="s">
        <v>484</v>
      </c>
      <c r="E289" s="8" t="s">
        <v>29</v>
      </c>
      <c r="F289" s="9">
        <v>0.666</v>
      </c>
      <c r="G289" s="10"/>
      <c r="H289" s="11">
        <f t="shared" si="9"/>
        <v>0</v>
      </c>
      <c r="I289" s="12">
        <f>3.312+0.66</f>
        <v>3.972</v>
      </c>
    </row>
    <row r="290" spans="1:9" s="5" customFormat="1" ht="12.75" customHeight="1">
      <c r="A290" s="8">
        <v>249</v>
      </c>
      <c r="B290" s="15">
        <v>96613</v>
      </c>
      <c r="C290" s="8" t="s">
        <v>27</v>
      </c>
      <c r="D290" s="17" t="s">
        <v>485</v>
      </c>
      <c r="E290" s="8" t="s">
        <v>29</v>
      </c>
      <c r="F290" s="9">
        <v>4.333</v>
      </c>
      <c r="G290" s="10"/>
      <c r="H290" s="11">
        <f t="shared" si="9"/>
        <v>0</v>
      </c>
      <c r="I290" s="12">
        <f>12.6+3.89+35.9</f>
        <v>52.39</v>
      </c>
    </row>
    <row r="291" spans="1:9" s="5" customFormat="1" ht="12.75" customHeight="1">
      <c r="A291" s="8">
        <v>250</v>
      </c>
      <c r="B291" s="15">
        <v>96616</v>
      </c>
      <c r="C291" s="8" t="s">
        <v>27</v>
      </c>
      <c r="D291" s="17" t="s">
        <v>486</v>
      </c>
      <c r="E291" s="8" t="s">
        <v>29</v>
      </c>
      <c r="F291" s="9">
        <v>2</v>
      </c>
      <c r="G291" s="10"/>
      <c r="H291" s="11">
        <f t="shared" si="9"/>
        <v>0</v>
      </c>
      <c r="I291" s="12">
        <f>22.8</f>
        <v>22.8</v>
      </c>
    </row>
    <row r="292" spans="1:9" s="5" customFormat="1" ht="12.75" customHeight="1">
      <c r="A292" s="8">
        <v>251</v>
      </c>
      <c r="B292" s="8" t="s">
        <v>352</v>
      </c>
      <c r="C292" s="8" t="s">
        <v>27</v>
      </c>
      <c r="D292" s="8" t="s">
        <v>353</v>
      </c>
      <c r="E292" s="8" t="s">
        <v>88</v>
      </c>
      <c r="F292" s="9">
        <v>18.333</v>
      </c>
      <c r="G292" s="10"/>
      <c r="H292" s="11">
        <f t="shared" si="9"/>
        <v>0</v>
      </c>
      <c r="I292" s="12">
        <f>43+53.5+31</f>
        <v>127.5</v>
      </c>
    </row>
    <row r="293" spans="1:9" s="5" customFormat="1" ht="12.75" customHeight="1">
      <c r="A293" s="8">
        <v>252</v>
      </c>
      <c r="B293" s="8" t="s">
        <v>354</v>
      </c>
      <c r="C293" s="8" t="s">
        <v>27</v>
      </c>
      <c r="D293" s="8" t="s">
        <v>355</v>
      </c>
      <c r="E293" s="8" t="s">
        <v>88</v>
      </c>
      <c r="F293" s="9">
        <v>14.666</v>
      </c>
      <c r="G293" s="10"/>
      <c r="H293" s="11">
        <f t="shared" si="9"/>
        <v>0</v>
      </c>
      <c r="I293" s="12">
        <f>17+74</f>
        <v>91</v>
      </c>
    </row>
    <row r="294" spans="1:9" s="5" customFormat="1" ht="12.75" customHeight="1">
      <c r="A294" s="8">
        <v>253</v>
      </c>
      <c r="B294" s="8" t="s">
        <v>356</v>
      </c>
      <c r="C294" s="8" t="s">
        <v>27</v>
      </c>
      <c r="D294" s="8" t="s">
        <v>357</v>
      </c>
      <c r="E294" s="8" t="s">
        <v>88</v>
      </c>
      <c r="F294" s="9">
        <v>8</v>
      </c>
      <c r="G294" s="10"/>
      <c r="H294" s="11">
        <f t="shared" si="9"/>
        <v>0</v>
      </c>
      <c r="I294" s="12">
        <f>53+24+61+12.1+12.1+13.5</f>
        <v>175.7</v>
      </c>
    </row>
    <row r="295" spans="1:9" s="5" customFormat="1" ht="12.75" customHeight="1">
      <c r="A295" s="8">
        <v>254</v>
      </c>
      <c r="B295" s="8" t="s">
        <v>358</v>
      </c>
      <c r="C295" s="8" t="s">
        <v>27</v>
      </c>
      <c r="D295" s="8" t="s">
        <v>359</v>
      </c>
      <c r="E295" s="8" t="s">
        <v>88</v>
      </c>
      <c r="F295" s="9">
        <v>2</v>
      </c>
      <c r="G295" s="10"/>
      <c r="H295" s="11">
        <f t="shared" si="9"/>
        <v>0</v>
      </c>
      <c r="I295" s="12">
        <f>22+27</f>
        <v>49</v>
      </c>
    </row>
    <row r="296" spans="1:9" s="5" customFormat="1" ht="12.75" customHeight="1">
      <c r="A296" s="8">
        <v>255</v>
      </c>
      <c r="B296" s="8" t="s">
        <v>360</v>
      </c>
      <c r="C296" s="8" t="s">
        <v>27</v>
      </c>
      <c r="D296" s="8" t="s">
        <v>361</v>
      </c>
      <c r="E296" s="8" t="s">
        <v>88</v>
      </c>
      <c r="F296" s="9">
        <v>0.933</v>
      </c>
      <c r="G296" s="10"/>
      <c r="H296" s="11">
        <f t="shared" si="9"/>
        <v>0</v>
      </c>
      <c r="I296" s="12">
        <f>5.5+16.5</f>
        <v>22</v>
      </c>
    </row>
    <row r="297" spans="1:9" s="5" customFormat="1" ht="12.75" customHeight="1">
      <c r="A297" s="8">
        <v>256</v>
      </c>
      <c r="B297" s="8" t="s">
        <v>362</v>
      </c>
      <c r="C297" s="8" t="s">
        <v>27</v>
      </c>
      <c r="D297" s="8" t="s">
        <v>363</v>
      </c>
      <c r="E297" s="8" t="s">
        <v>88</v>
      </c>
      <c r="F297" s="9">
        <v>0.533</v>
      </c>
      <c r="G297" s="10"/>
      <c r="H297" s="11">
        <f t="shared" si="9"/>
        <v>0</v>
      </c>
      <c r="I297" s="12"/>
    </row>
    <row r="298" spans="1:9" s="5" customFormat="1" ht="12.75" customHeight="1">
      <c r="A298" s="8">
        <v>257</v>
      </c>
      <c r="B298" s="8" t="s">
        <v>364</v>
      </c>
      <c r="C298" s="8" t="s">
        <v>27</v>
      </c>
      <c r="D298" s="8" t="s">
        <v>365</v>
      </c>
      <c r="E298" s="8" t="s">
        <v>63</v>
      </c>
      <c r="F298" s="9">
        <v>2</v>
      </c>
      <c r="G298" s="10"/>
      <c r="H298" s="11">
        <f t="shared" si="9"/>
        <v>0</v>
      </c>
      <c r="I298" s="12">
        <f>6+9+1</f>
        <v>16</v>
      </c>
    </row>
    <row r="299" spans="1:9" s="5" customFormat="1" ht="12.75" customHeight="1">
      <c r="A299" s="8">
        <v>258</v>
      </c>
      <c r="B299" s="8" t="s">
        <v>366</v>
      </c>
      <c r="C299" s="8" t="s">
        <v>27</v>
      </c>
      <c r="D299" s="8" t="s">
        <v>367</v>
      </c>
      <c r="E299" s="8" t="s">
        <v>63</v>
      </c>
      <c r="F299" s="9">
        <v>1</v>
      </c>
      <c r="G299" s="10"/>
      <c r="H299" s="11">
        <f t="shared" si="9"/>
        <v>0</v>
      </c>
      <c r="I299" s="12">
        <f>1</f>
        <v>1</v>
      </c>
    </row>
    <row r="300" spans="1:9" s="5" customFormat="1" ht="12.75" customHeight="1">
      <c r="A300" s="8">
        <v>259</v>
      </c>
      <c r="B300" s="15">
        <v>96713</v>
      </c>
      <c r="C300" s="8" t="s">
        <v>27</v>
      </c>
      <c r="D300" s="17" t="s">
        <v>487</v>
      </c>
      <c r="E300" s="8" t="s">
        <v>29</v>
      </c>
      <c r="F300" s="9">
        <v>3.333</v>
      </c>
      <c r="G300" s="10"/>
      <c r="H300" s="11">
        <f t="shared" si="9"/>
        <v>0</v>
      </c>
      <c r="I300" s="12">
        <f>17.325+14.24+24.6+10.41+3+3+3+0.4+18.08</f>
        <v>94.055</v>
      </c>
    </row>
    <row r="301" spans="1:9" s="5" customFormat="1" ht="12.75" customHeight="1">
      <c r="A301" s="8">
        <v>260</v>
      </c>
      <c r="B301" s="15">
        <v>96715</v>
      </c>
      <c r="C301" s="8" t="s">
        <v>27</v>
      </c>
      <c r="D301" s="17" t="s">
        <v>488</v>
      </c>
      <c r="E301" s="8" t="s">
        <v>29</v>
      </c>
      <c r="F301" s="9">
        <v>4.333</v>
      </c>
      <c r="G301" s="10"/>
      <c r="H301" s="11">
        <f t="shared" si="9"/>
        <v>0</v>
      </c>
      <c r="I301" s="12">
        <f>2+23.73+3.3+3.54+26.35</f>
        <v>58.92</v>
      </c>
    </row>
    <row r="302" spans="1:9" s="5" customFormat="1" ht="12.75" customHeight="1">
      <c r="A302" s="8">
        <v>261</v>
      </c>
      <c r="B302" s="15">
        <v>96716</v>
      </c>
      <c r="C302" s="8" t="s">
        <v>27</v>
      </c>
      <c r="D302" s="17" t="s">
        <v>489</v>
      </c>
      <c r="E302" s="8" t="s">
        <v>29</v>
      </c>
      <c r="F302" s="9">
        <v>3.533</v>
      </c>
      <c r="G302" s="10"/>
      <c r="H302" s="11">
        <f aca="true" t="shared" si="10" ref="H302:H308">ROUND((G302*F302),2)</f>
        <v>0</v>
      </c>
      <c r="I302" s="12">
        <f>8.64+13.251+0.01</f>
        <v>21.901</v>
      </c>
    </row>
    <row r="303" spans="1:9" s="5" customFormat="1" ht="12.75" customHeight="1">
      <c r="A303" s="8">
        <v>262</v>
      </c>
      <c r="B303" s="15">
        <v>96718</v>
      </c>
      <c r="C303" s="8" t="s">
        <v>27</v>
      </c>
      <c r="D303" s="17" t="s">
        <v>490</v>
      </c>
      <c r="E303" s="8" t="s">
        <v>123</v>
      </c>
      <c r="F303" s="9">
        <v>0.2</v>
      </c>
      <c r="G303" s="10"/>
      <c r="H303" s="11">
        <f t="shared" si="10"/>
        <v>0</v>
      </c>
      <c r="I303" s="12">
        <f>0.8+0.19</f>
        <v>0.99</v>
      </c>
    </row>
    <row r="304" spans="1:9" s="5" customFormat="1" ht="12.75" customHeight="1">
      <c r="A304" s="8">
        <v>263</v>
      </c>
      <c r="B304" s="8" t="s">
        <v>368</v>
      </c>
      <c r="C304" s="8" t="s">
        <v>27</v>
      </c>
      <c r="D304" s="8" t="s">
        <v>369</v>
      </c>
      <c r="E304" s="8" t="s">
        <v>88</v>
      </c>
      <c r="F304" s="9">
        <v>1.666</v>
      </c>
      <c r="G304" s="10"/>
      <c r="H304" s="11">
        <f t="shared" si="10"/>
        <v>0</v>
      </c>
      <c r="I304" s="12"/>
    </row>
    <row r="305" spans="1:9" s="5" customFormat="1" ht="12.75" customHeight="1">
      <c r="A305" s="8">
        <v>264</v>
      </c>
      <c r="B305" s="8" t="s">
        <v>370</v>
      </c>
      <c r="C305" s="8" t="s">
        <v>27</v>
      </c>
      <c r="D305" s="8" t="s">
        <v>371</v>
      </c>
      <c r="E305" s="8" t="s">
        <v>88</v>
      </c>
      <c r="F305" s="9">
        <v>0.666</v>
      </c>
      <c r="G305" s="10"/>
      <c r="H305" s="11">
        <f t="shared" si="10"/>
        <v>0</v>
      </c>
      <c r="I305" s="12"/>
    </row>
    <row r="306" spans="1:9" s="5" customFormat="1" ht="12.75" customHeight="1">
      <c r="A306" s="8">
        <v>265</v>
      </c>
      <c r="B306" s="8" t="s">
        <v>372</v>
      </c>
      <c r="C306" s="8" t="s">
        <v>27</v>
      </c>
      <c r="D306" s="8" t="s">
        <v>373</v>
      </c>
      <c r="E306" s="8" t="s">
        <v>88</v>
      </c>
      <c r="F306" s="9">
        <v>2.333</v>
      </c>
      <c r="G306" s="10"/>
      <c r="H306" s="11">
        <f t="shared" si="10"/>
        <v>0</v>
      </c>
      <c r="I306" s="12"/>
    </row>
    <row r="307" spans="1:9" s="5" customFormat="1" ht="12.75" customHeight="1">
      <c r="A307" s="8">
        <v>266</v>
      </c>
      <c r="B307" s="8" t="s">
        <v>374</v>
      </c>
      <c r="C307" s="8" t="s">
        <v>27</v>
      </c>
      <c r="D307" s="8" t="s">
        <v>375</v>
      </c>
      <c r="E307" s="8" t="s">
        <v>88</v>
      </c>
      <c r="F307" s="9">
        <v>3.333</v>
      </c>
      <c r="G307" s="10"/>
      <c r="H307" s="11">
        <f t="shared" si="10"/>
        <v>0</v>
      </c>
      <c r="I307" s="12">
        <f>70.6</f>
        <v>70.6</v>
      </c>
    </row>
    <row r="308" spans="1:9" s="5" customFormat="1" ht="12.75" customHeight="1">
      <c r="A308" s="8">
        <v>267</v>
      </c>
      <c r="B308" s="8" t="s">
        <v>376</v>
      </c>
      <c r="C308" s="8" t="s">
        <v>27</v>
      </c>
      <c r="D308" s="8" t="s">
        <v>377</v>
      </c>
      <c r="E308" s="8" t="s">
        <v>88</v>
      </c>
      <c r="F308" s="9">
        <v>1.333</v>
      </c>
      <c r="G308" s="10"/>
      <c r="H308" s="11">
        <f t="shared" si="10"/>
        <v>0</v>
      </c>
      <c r="I308" s="12"/>
    </row>
    <row r="309" spans="1:15" s="5" customFormat="1" ht="12.75" customHeight="1">
      <c r="A309" s="14"/>
      <c r="B309" s="14"/>
      <c r="C309" s="14" t="s">
        <v>217</v>
      </c>
      <c r="D309" s="14" t="s">
        <v>216</v>
      </c>
      <c r="E309" s="14"/>
      <c r="F309" s="14"/>
      <c r="G309" s="14"/>
      <c r="H309" s="14">
        <f>SUM(H199:H308)</f>
        <v>0</v>
      </c>
      <c r="I309" s="16"/>
      <c r="O309" s="5">
        <f>ROUND(SUM(O199:O308),2)</f>
        <v>0</v>
      </c>
    </row>
    <row r="310" s="5" customFormat="1" ht="12.75" customHeight="1">
      <c r="I310" s="16"/>
    </row>
    <row r="311" spans="1:15" s="5" customFormat="1" ht="12.75" customHeight="1">
      <c r="A311" s="14"/>
      <c r="B311" s="14"/>
      <c r="C311" s="14"/>
      <c r="D311" s="14" t="s">
        <v>378</v>
      </c>
      <c r="E311" s="14"/>
      <c r="F311" s="14"/>
      <c r="G311" s="14"/>
      <c r="H311" s="14">
        <f>H36+H83+H88+H93+H105+H143+H157+H166+H173+H192+H309</f>
        <v>0</v>
      </c>
      <c r="I311" s="16"/>
      <c r="O311" s="5">
        <f>+O36+O83+O88+O93+O105+O143+O157+O166+O173+O192+O309</f>
        <v>0</v>
      </c>
    </row>
  </sheetData>
  <sheetProtection formatColumns="0"/>
  <mergeCells count="8">
    <mergeCell ref="I8:I9"/>
    <mergeCell ref="G8:H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fitToHeight="25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Synek</dc:creator>
  <cp:keywords/>
  <dc:description/>
  <cp:lastModifiedBy>Filipkova</cp:lastModifiedBy>
  <cp:lastPrinted>2016-09-25T14:18:29Z</cp:lastPrinted>
  <dcterms:created xsi:type="dcterms:W3CDTF">2016-08-15T14:53:24Z</dcterms:created>
  <dcterms:modified xsi:type="dcterms:W3CDTF">2016-09-29T09:21:21Z</dcterms:modified>
  <cp:category/>
  <cp:version/>
  <cp:contentType/>
  <cp:contentStatus/>
</cp:coreProperties>
</file>